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83"/>
  </bookViews>
  <sheets>
    <sheet name="Distribution Check" sheetId="15" r:id="rId1"/>
    <sheet name="Exponential" sheetId="11" r:id="rId2"/>
    <sheet name="Lognormal" sheetId="14" r:id="rId3"/>
    <sheet name="Significance Levels Table" sheetId="9" r:id="rId4"/>
  </sheets>
  <definedNames>
    <definedName name="b">Exponential!$AB$10</definedName>
    <definedName name="l">Exponential!$AB$2</definedName>
    <definedName name="n">Exponential!$AB$5</definedName>
    <definedName name="SSX">Exponential!$AB$8</definedName>
    <definedName name="SYX">Exponential!$AB$6</definedName>
    <definedName name="t">Exponential!$AB$9</definedName>
    <definedName name="XAVG">Exponential!$AB$7</definedName>
  </definedNames>
  <calcPr calcId="145621"/>
</workbook>
</file>

<file path=xl/calcChain.xml><?xml version="1.0" encoding="utf-8"?>
<calcChain xmlns="http://schemas.openxmlformats.org/spreadsheetml/2006/main">
  <c r="F45" i="15" l="1"/>
  <c r="F46" i="15"/>
  <c r="F47" i="15"/>
  <c r="F48" i="15"/>
  <c r="F49" i="15"/>
  <c r="F50" i="15"/>
  <c r="T3" i="14" l="1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2" i="14"/>
  <c r="R51" i="14"/>
  <c r="S51" i="14"/>
  <c r="Q51" i="14"/>
  <c r="F17" i="15" l="1"/>
  <c r="F18" i="15"/>
  <c r="F19" i="15"/>
  <c r="V3" i="15" l="1"/>
  <c r="AK3" i="15" s="1"/>
  <c r="V4" i="15"/>
  <c r="AB4" i="15" s="1"/>
  <c r="V5" i="15"/>
  <c r="AB5" i="15" s="1"/>
  <c r="V6" i="15"/>
  <c r="AB6" i="15" s="1"/>
  <c r="V7" i="15"/>
  <c r="AB7" i="15" s="1"/>
  <c r="V8" i="15"/>
  <c r="AK8" i="15" s="1"/>
  <c r="V9" i="15"/>
  <c r="AB9" i="15" s="1"/>
  <c r="V10" i="15"/>
  <c r="AK10" i="15" s="1"/>
  <c r="V11" i="15"/>
  <c r="AK11" i="15" s="1"/>
  <c r="V12" i="15"/>
  <c r="AK12" i="15" s="1"/>
  <c r="V13" i="15"/>
  <c r="AK13" i="15" s="1"/>
  <c r="V14" i="15"/>
  <c r="AK14" i="15" s="1"/>
  <c r="V15" i="15"/>
  <c r="AB15" i="15" s="1"/>
  <c r="V16" i="15"/>
  <c r="AK16" i="15" s="1"/>
  <c r="V17" i="15"/>
  <c r="AK17" i="15" s="1"/>
  <c r="V18" i="15"/>
  <c r="AB18" i="15" s="1"/>
  <c r="V19" i="15"/>
  <c r="AB19" i="15" s="1"/>
  <c r="V20" i="15"/>
  <c r="AK20" i="15" s="1"/>
  <c r="V21" i="15"/>
  <c r="AK21" i="15" s="1"/>
  <c r="V22" i="15"/>
  <c r="AK22" i="15" s="1"/>
  <c r="V23" i="15"/>
  <c r="AB23" i="15" s="1"/>
  <c r="V24" i="15"/>
  <c r="AK24" i="15" s="1"/>
  <c r="V25" i="15"/>
  <c r="AK25" i="15" s="1"/>
  <c r="V26" i="15"/>
  <c r="AK26" i="15" s="1"/>
  <c r="V27" i="15"/>
  <c r="V28" i="15"/>
  <c r="AK28" i="15" s="1"/>
  <c r="V29" i="15"/>
  <c r="AK29" i="15" s="1"/>
  <c r="V30" i="15"/>
  <c r="AK30" i="15" s="1"/>
  <c r="V31" i="15"/>
  <c r="V32" i="15"/>
  <c r="AK32" i="15" s="1"/>
  <c r="V33" i="15"/>
  <c r="AK33" i="15" s="1"/>
  <c r="V34" i="15"/>
  <c r="AK34" i="15" s="1"/>
  <c r="V35" i="15"/>
  <c r="V36" i="15"/>
  <c r="AK36" i="15" s="1"/>
  <c r="V37" i="15"/>
  <c r="AK37" i="15" s="1"/>
  <c r="V38" i="15"/>
  <c r="AK38" i="15" s="1"/>
  <c r="V39" i="15"/>
  <c r="V40" i="15"/>
  <c r="AK40" i="15" s="1"/>
  <c r="V41" i="15"/>
  <c r="AK41" i="15" s="1"/>
  <c r="V42" i="15"/>
  <c r="AK42" i="15" s="1"/>
  <c r="V43" i="15"/>
  <c r="V44" i="15"/>
  <c r="AB44" i="15" s="1"/>
  <c r="V45" i="15"/>
  <c r="AB45" i="15" s="1"/>
  <c r="V46" i="15"/>
  <c r="AK46" i="15" s="1"/>
  <c r="V47" i="15"/>
  <c r="V48" i="15"/>
  <c r="AK48" i="15" s="1"/>
  <c r="V49" i="15"/>
  <c r="AB49" i="15" s="1"/>
  <c r="V50" i="15"/>
  <c r="AK50" i="15" s="1"/>
  <c r="V2" i="15"/>
  <c r="AB2" i="15" s="1"/>
  <c r="S46" i="15"/>
  <c r="S47" i="15"/>
  <c r="S48" i="15"/>
  <c r="S49" i="15"/>
  <c r="S50" i="15"/>
  <c r="R20" i="15"/>
  <c r="R23" i="15"/>
  <c r="R24" i="15"/>
  <c r="R27" i="15"/>
  <c r="R28" i="15"/>
  <c r="R31" i="15"/>
  <c r="R32" i="15"/>
  <c r="R35" i="15"/>
  <c r="R36" i="15"/>
  <c r="R39" i="15"/>
  <c r="R40" i="15"/>
  <c r="R43" i="15"/>
  <c r="R44" i="15"/>
  <c r="R45" i="15"/>
  <c r="R46" i="15"/>
  <c r="R47" i="15"/>
  <c r="R48" i="15"/>
  <c r="R49" i="15"/>
  <c r="R50" i="15"/>
  <c r="AI50" i="15"/>
  <c r="AH50" i="15"/>
  <c r="AG50" i="15"/>
  <c r="AJ50" i="15" s="1"/>
  <c r="AA50" i="15"/>
  <c r="AF50" i="15" s="1"/>
  <c r="W50" i="15"/>
  <c r="O50" i="15"/>
  <c r="N50" i="15"/>
  <c r="J50" i="15"/>
  <c r="I50" i="15"/>
  <c r="G50" i="15"/>
  <c r="AI49" i="15"/>
  <c r="AH49" i="15"/>
  <c r="AG49" i="15"/>
  <c r="AJ49" i="15" s="1"/>
  <c r="AA49" i="15"/>
  <c r="AF49" i="15" s="1"/>
  <c r="W49" i="15"/>
  <c r="O49" i="15"/>
  <c r="N49" i="15"/>
  <c r="J49" i="15"/>
  <c r="I49" i="15"/>
  <c r="G49" i="15"/>
  <c r="AI48" i="15"/>
  <c r="AH48" i="15"/>
  <c r="AG48" i="15"/>
  <c r="AJ48" i="15" s="1"/>
  <c r="AA48" i="15"/>
  <c r="AF48" i="15" s="1"/>
  <c r="W48" i="15"/>
  <c r="O48" i="15"/>
  <c r="N48" i="15"/>
  <c r="J48" i="15"/>
  <c r="I48" i="15"/>
  <c r="G48" i="15"/>
  <c r="AI47" i="15"/>
  <c r="AH47" i="15"/>
  <c r="AG47" i="15"/>
  <c r="AJ47" i="15" s="1"/>
  <c r="AA47" i="15"/>
  <c r="AF47" i="15" s="1"/>
  <c r="W47" i="15"/>
  <c r="O47" i="15"/>
  <c r="N47" i="15"/>
  <c r="J47" i="15"/>
  <c r="I47" i="15"/>
  <c r="G47" i="15"/>
  <c r="AI46" i="15"/>
  <c r="AH46" i="15"/>
  <c r="AG46" i="15"/>
  <c r="AJ46" i="15" s="1"/>
  <c r="AA46" i="15"/>
  <c r="AF46" i="15" s="1"/>
  <c r="W46" i="15"/>
  <c r="O46" i="15"/>
  <c r="N46" i="15"/>
  <c r="J46" i="15"/>
  <c r="I46" i="15"/>
  <c r="G46" i="15"/>
  <c r="AH45" i="15"/>
  <c r="AI45" i="15" s="1"/>
  <c r="AG45" i="15"/>
  <c r="AJ45" i="15" s="1"/>
  <c r="N45" i="15"/>
  <c r="J45" i="15"/>
  <c r="I45" i="15"/>
  <c r="AI44" i="15"/>
  <c r="AH44" i="15"/>
  <c r="AG44" i="15"/>
  <c r="AJ44" i="15" s="1"/>
  <c r="N44" i="15"/>
  <c r="J44" i="15"/>
  <c r="I44" i="15"/>
  <c r="F44" i="15"/>
  <c r="AI43" i="15"/>
  <c r="AH43" i="15"/>
  <c r="AG43" i="15"/>
  <c r="AJ43" i="15" s="1"/>
  <c r="N43" i="15"/>
  <c r="J43" i="15"/>
  <c r="I43" i="15"/>
  <c r="F43" i="15"/>
  <c r="AH42" i="15"/>
  <c r="AI42" i="15" s="1"/>
  <c r="AG42" i="15"/>
  <c r="AJ42" i="15" s="1"/>
  <c r="N42" i="15"/>
  <c r="J42" i="15"/>
  <c r="I42" i="15"/>
  <c r="F42" i="15"/>
  <c r="R42" i="15" s="1"/>
  <c r="AH41" i="15"/>
  <c r="AI41" i="15" s="1"/>
  <c r="AG41" i="15"/>
  <c r="AJ41" i="15" s="1"/>
  <c r="N41" i="15"/>
  <c r="J41" i="15"/>
  <c r="I41" i="15"/>
  <c r="F41" i="15"/>
  <c r="R41" i="15" s="1"/>
  <c r="AH40" i="15"/>
  <c r="AI40" i="15" s="1"/>
  <c r="AG40" i="15"/>
  <c r="AJ40" i="15" s="1"/>
  <c r="N40" i="15"/>
  <c r="J40" i="15"/>
  <c r="I40" i="15"/>
  <c r="F40" i="15"/>
  <c r="AI39" i="15"/>
  <c r="AH39" i="15"/>
  <c r="AG39" i="15"/>
  <c r="AJ39" i="15" s="1"/>
  <c r="N39" i="15"/>
  <c r="J39" i="15"/>
  <c r="I39" i="15"/>
  <c r="F39" i="15"/>
  <c r="AH38" i="15"/>
  <c r="AI38" i="15" s="1"/>
  <c r="AG38" i="15"/>
  <c r="AJ38" i="15" s="1"/>
  <c r="N38" i="15"/>
  <c r="J38" i="15"/>
  <c r="I38" i="15"/>
  <c r="F38" i="15"/>
  <c r="R38" i="15" s="1"/>
  <c r="AH37" i="15"/>
  <c r="AI37" i="15" s="1"/>
  <c r="AG37" i="15"/>
  <c r="AJ37" i="15" s="1"/>
  <c r="N37" i="15"/>
  <c r="J37" i="15"/>
  <c r="I37" i="15"/>
  <c r="F37" i="15"/>
  <c r="R37" i="15" s="1"/>
  <c r="AH36" i="15"/>
  <c r="AI36" i="15" s="1"/>
  <c r="AG36" i="15"/>
  <c r="AJ36" i="15" s="1"/>
  <c r="N36" i="15"/>
  <c r="J36" i="15"/>
  <c r="I36" i="15"/>
  <c r="F36" i="15"/>
  <c r="AI35" i="15"/>
  <c r="AH35" i="15"/>
  <c r="AG35" i="15"/>
  <c r="AJ35" i="15" s="1"/>
  <c r="N35" i="15"/>
  <c r="J35" i="15"/>
  <c r="I35" i="15"/>
  <c r="F35" i="15"/>
  <c r="AH34" i="15"/>
  <c r="AI34" i="15" s="1"/>
  <c r="AG34" i="15"/>
  <c r="AJ34" i="15" s="1"/>
  <c r="N34" i="15"/>
  <c r="J34" i="15"/>
  <c r="I34" i="15"/>
  <c r="F34" i="15"/>
  <c r="R34" i="15" s="1"/>
  <c r="AH33" i="15"/>
  <c r="AI33" i="15" s="1"/>
  <c r="AG33" i="15"/>
  <c r="AJ33" i="15" s="1"/>
  <c r="N33" i="15"/>
  <c r="J33" i="15"/>
  <c r="I33" i="15"/>
  <c r="F33" i="15"/>
  <c r="R33" i="15" s="1"/>
  <c r="AH32" i="15"/>
  <c r="AI32" i="15" s="1"/>
  <c r="AG32" i="15"/>
  <c r="AJ32" i="15" s="1"/>
  <c r="N32" i="15"/>
  <c r="J32" i="15"/>
  <c r="I32" i="15"/>
  <c r="F32" i="15"/>
  <c r="AI31" i="15"/>
  <c r="AH31" i="15"/>
  <c r="AG31" i="15"/>
  <c r="AJ31" i="15" s="1"/>
  <c r="N31" i="15"/>
  <c r="J31" i="15"/>
  <c r="I31" i="15"/>
  <c r="F31" i="15"/>
  <c r="AH30" i="15"/>
  <c r="AI30" i="15" s="1"/>
  <c r="AG30" i="15"/>
  <c r="AJ30" i="15" s="1"/>
  <c r="N30" i="15"/>
  <c r="J30" i="15"/>
  <c r="I30" i="15"/>
  <c r="F30" i="15"/>
  <c r="R30" i="15" s="1"/>
  <c r="AH29" i="15"/>
  <c r="AI29" i="15" s="1"/>
  <c r="AG29" i="15"/>
  <c r="AJ29" i="15" s="1"/>
  <c r="N29" i="15"/>
  <c r="J29" i="15"/>
  <c r="I29" i="15"/>
  <c r="F29" i="15"/>
  <c r="R29" i="15" s="1"/>
  <c r="AH28" i="15"/>
  <c r="AI28" i="15" s="1"/>
  <c r="AG28" i="15"/>
  <c r="AJ28" i="15" s="1"/>
  <c r="N28" i="15"/>
  <c r="J28" i="15"/>
  <c r="I28" i="15"/>
  <c r="F28" i="15"/>
  <c r="AI27" i="15"/>
  <c r="AH27" i="15"/>
  <c r="AG27" i="15"/>
  <c r="AJ27" i="15" s="1"/>
  <c r="N27" i="15"/>
  <c r="J27" i="15"/>
  <c r="I27" i="15"/>
  <c r="F27" i="15"/>
  <c r="AH26" i="15"/>
  <c r="AI26" i="15" s="1"/>
  <c r="AG26" i="15"/>
  <c r="AJ26" i="15" s="1"/>
  <c r="N26" i="15"/>
  <c r="J26" i="15"/>
  <c r="I26" i="15"/>
  <c r="F26" i="15"/>
  <c r="R26" i="15" s="1"/>
  <c r="AH25" i="15"/>
  <c r="AI25" i="15" s="1"/>
  <c r="AG25" i="15"/>
  <c r="AJ25" i="15" s="1"/>
  <c r="N25" i="15"/>
  <c r="J25" i="15"/>
  <c r="I25" i="15"/>
  <c r="F25" i="15"/>
  <c r="R25" i="15" s="1"/>
  <c r="AH24" i="15"/>
  <c r="AI24" i="15" s="1"/>
  <c r="AG24" i="15"/>
  <c r="AJ24" i="15" s="1"/>
  <c r="N24" i="15"/>
  <c r="J24" i="15"/>
  <c r="I24" i="15"/>
  <c r="F24" i="15"/>
  <c r="AI23" i="15"/>
  <c r="AH23" i="15"/>
  <c r="AG23" i="15"/>
  <c r="AJ23" i="15" s="1"/>
  <c r="N23" i="15"/>
  <c r="J23" i="15"/>
  <c r="I23" i="15"/>
  <c r="F23" i="15"/>
  <c r="AH22" i="15"/>
  <c r="AI22" i="15" s="1"/>
  <c r="AG22" i="15"/>
  <c r="AJ22" i="15" s="1"/>
  <c r="N22" i="15"/>
  <c r="J22" i="15"/>
  <c r="I22" i="15"/>
  <c r="F22" i="15"/>
  <c r="R22" i="15" s="1"/>
  <c r="AH21" i="15"/>
  <c r="AI21" i="15" s="1"/>
  <c r="AG21" i="15"/>
  <c r="AJ21" i="15" s="1"/>
  <c r="N21" i="15"/>
  <c r="J21" i="15"/>
  <c r="I21" i="15"/>
  <c r="F21" i="15"/>
  <c r="R21" i="15" s="1"/>
  <c r="AH20" i="15"/>
  <c r="AI20" i="15" s="1"/>
  <c r="AG20" i="15"/>
  <c r="AJ20" i="15" s="1"/>
  <c r="N20" i="15"/>
  <c r="J20" i="15"/>
  <c r="I20" i="15"/>
  <c r="F20" i="15"/>
  <c r="AH19" i="15"/>
  <c r="AI19" i="15" s="1"/>
  <c r="AG19" i="15"/>
  <c r="AJ19" i="15" s="1"/>
  <c r="N19" i="15"/>
  <c r="J19" i="15"/>
  <c r="I19" i="15"/>
  <c r="R19" i="15"/>
  <c r="AH18" i="15"/>
  <c r="AI18" i="15" s="1"/>
  <c r="AG18" i="15"/>
  <c r="AJ18" i="15" s="1"/>
  <c r="N18" i="15"/>
  <c r="J18" i="15"/>
  <c r="I18" i="15"/>
  <c r="R18" i="15"/>
  <c r="AH17" i="15"/>
  <c r="AI17" i="15" s="1"/>
  <c r="AG17" i="15"/>
  <c r="AJ17" i="15" s="1"/>
  <c r="N17" i="15"/>
  <c r="J17" i="15"/>
  <c r="I17" i="15"/>
  <c r="R17" i="15"/>
  <c r="AH16" i="15"/>
  <c r="AI16" i="15" s="1"/>
  <c r="AG16" i="15"/>
  <c r="AJ16" i="15" s="1"/>
  <c r="N16" i="15"/>
  <c r="J16" i="15"/>
  <c r="I16" i="15"/>
  <c r="F16" i="15"/>
  <c r="R16" i="15" s="1"/>
  <c r="AH15" i="15"/>
  <c r="AI15" i="15" s="1"/>
  <c r="AG15" i="15"/>
  <c r="AJ15" i="15" s="1"/>
  <c r="N15" i="15"/>
  <c r="J15" i="15"/>
  <c r="I15" i="15"/>
  <c r="F15" i="15"/>
  <c r="R15" i="15" s="1"/>
  <c r="AH14" i="15"/>
  <c r="AI14" i="15" s="1"/>
  <c r="AG14" i="15"/>
  <c r="AJ14" i="15" s="1"/>
  <c r="N14" i="15"/>
  <c r="J14" i="15"/>
  <c r="I14" i="15"/>
  <c r="F14" i="15"/>
  <c r="R14" i="15" s="1"/>
  <c r="AH13" i="15"/>
  <c r="AI13" i="15" s="1"/>
  <c r="AG13" i="15"/>
  <c r="AJ13" i="15" s="1"/>
  <c r="N13" i="15"/>
  <c r="J13" i="15"/>
  <c r="I13" i="15"/>
  <c r="F13" i="15"/>
  <c r="R13" i="15" s="1"/>
  <c r="AH12" i="15"/>
  <c r="AG12" i="15"/>
  <c r="AJ12" i="15" s="1"/>
  <c r="N12" i="15"/>
  <c r="J12" i="15"/>
  <c r="I12" i="15"/>
  <c r="F12" i="15"/>
  <c r="R12" i="15" s="1"/>
  <c r="AH11" i="15"/>
  <c r="AI11" i="15" s="1"/>
  <c r="AG11" i="15"/>
  <c r="AJ11" i="15" s="1"/>
  <c r="N11" i="15"/>
  <c r="J11" i="15"/>
  <c r="I11" i="15"/>
  <c r="F11" i="15"/>
  <c r="R11" i="15" s="1"/>
  <c r="AH10" i="15"/>
  <c r="AI10" i="15" s="1"/>
  <c r="AG10" i="15"/>
  <c r="AJ10" i="15" s="1"/>
  <c r="N10" i="15"/>
  <c r="J10" i="15"/>
  <c r="I10" i="15"/>
  <c r="F10" i="15"/>
  <c r="R10" i="15" s="1"/>
  <c r="AH9" i="15"/>
  <c r="AI9" i="15" s="1"/>
  <c r="AG9" i="15"/>
  <c r="AJ9" i="15" s="1"/>
  <c r="N9" i="15"/>
  <c r="J9" i="15"/>
  <c r="I9" i="15"/>
  <c r="F9" i="15"/>
  <c r="R9" i="15" s="1"/>
  <c r="AH8" i="15"/>
  <c r="AI8" i="15" s="1"/>
  <c r="AG8" i="15"/>
  <c r="AJ8" i="15" s="1"/>
  <c r="N8" i="15"/>
  <c r="J8" i="15"/>
  <c r="I8" i="15"/>
  <c r="F8" i="15"/>
  <c r="R8" i="15" s="1"/>
  <c r="AH7" i="15"/>
  <c r="AI7" i="15" s="1"/>
  <c r="AG7" i="15"/>
  <c r="AJ7" i="15" s="1"/>
  <c r="N7" i="15"/>
  <c r="J7" i="15"/>
  <c r="I7" i="15"/>
  <c r="F7" i="15"/>
  <c r="R7" i="15" s="1"/>
  <c r="AH6" i="15"/>
  <c r="AI6" i="15" s="1"/>
  <c r="AG6" i="15"/>
  <c r="AJ6" i="15" s="1"/>
  <c r="N6" i="15"/>
  <c r="J6" i="15"/>
  <c r="I6" i="15"/>
  <c r="F6" i="15"/>
  <c r="R6" i="15" s="1"/>
  <c r="AH5" i="15"/>
  <c r="AI5" i="15" s="1"/>
  <c r="AG5" i="15"/>
  <c r="AJ5" i="15" s="1"/>
  <c r="N5" i="15"/>
  <c r="J5" i="15"/>
  <c r="I5" i="15"/>
  <c r="F5" i="15"/>
  <c r="R5" i="15" s="1"/>
  <c r="AH4" i="15"/>
  <c r="AI4" i="15" s="1"/>
  <c r="AG4" i="15"/>
  <c r="AJ4" i="15" s="1"/>
  <c r="N4" i="15"/>
  <c r="J4" i="15"/>
  <c r="I4" i="15"/>
  <c r="F4" i="15"/>
  <c r="R4" i="15" s="1"/>
  <c r="AH3" i="15"/>
  <c r="AI3" i="15" s="1"/>
  <c r="AG3" i="15"/>
  <c r="AJ3" i="15" s="1"/>
  <c r="N3" i="15"/>
  <c r="J3" i="15"/>
  <c r="I3" i="15"/>
  <c r="F3" i="15"/>
  <c r="R3" i="15" s="1"/>
  <c r="AG2" i="15"/>
  <c r="AJ2" i="15" s="1"/>
  <c r="N2" i="15"/>
  <c r="J2" i="15"/>
  <c r="K2" i="15" s="1"/>
  <c r="I2" i="15"/>
  <c r="F2" i="15"/>
  <c r="R2" i="15" s="1"/>
  <c r="AJ1" i="15"/>
  <c r="AF1" i="15"/>
  <c r="AB1" i="15"/>
  <c r="AI12" i="15"/>
  <c r="AK44" i="15" l="1"/>
  <c r="AB40" i="15"/>
  <c r="AB12" i="15"/>
  <c r="AB13" i="15"/>
  <c r="AB25" i="15"/>
  <c r="AB29" i="15"/>
  <c r="G2" i="15"/>
  <c r="S2" i="15" s="1"/>
  <c r="AH2" i="15"/>
  <c r="AI2" i="15" s="1"/>
  <c r="AK4" i="15"/>
  <c r="AB36" i="15"/>
  <c r="AB16" i="15"/>
  <c r="AB24" i="15"/>
  <c r="AB28" i="15"/>
  <c r="AB32" i="15"/>
  <c r="AB48" i="15"/>
  <c r="AB17" i="15"/>
  <c r="AK9" i="15"/>
  <c r="AK45" i="15"/>
  <c r="AK49" i="15"/>
  <c r="AB33" i="15"/>
  <c r="AB3" i="15"/>
  <c r="AB14" i="15"/>
  <c r="AB11" i="15"/>
  <c r="AB50" i="15"/>
  <c r="AK5" i="15"/>
  <c r="AB10" i="15"/>
  <c r="AB34" i="15"/>
  <c r="AB41" i="15"/>
  <c r="AK2" i="15"/>
  <c r="AK18" i="15"/>
  <c r="AB30" i="15"/>
  <c r="AB46" i="15"/>
  <c r="AK6" i="15"/>
  <c r="AB21" i="15"/>
  <c r="AB26" i="15"/>
  <c r="AB37" i="15"/>
  <c r="AB42" i="15"/>
  <c r="AB22" i="15"/>
  <c r="AB38" i="15"/>
  <c r="K43" i="15"/>
  <c r="G43" i="15" s="1"/>
  <c r="K39" i="15"/>
  <c r="G39" i="15" s="1"/>
  <c r="K35" i="15"/>
  <c r="G35" i="15" s="1"/>
  <c r="K27" i="15"/>
  <c r="G27" i="15" s="1"/>
  <c r="K47" i="15"/>
  <c r="K31" i="15"/>
  <c r="G31" i="15" s="1"/>
  <c r="K18" i="15"/>
  <c r="G18" i="15" s="1"/>
  <c r="S18" i="15" s="1"/>
  <c r="K19" i="15"/>
  <c r="G19" i="15" s="1"/>
  <c r="K30" i="15"/>
  <c r="G30" i="15" s="1"/>
  <c r="K46" i="15"/>
  <c r="K3" i="15"/>
  <c r="G3" i="15" s="1"/>
  <c r="S3" i="15" s="1"/>
  <c r="K10" i="15"/>
  <c r="G10" i="15" s="1"/>
  <c r="S10" i="15" s="1"/>
  <c r="K11" i="15"/>
  <c r="G11" i="15" s="1"/>
  <c r="S11" i="15" s="1"/>
  <c r="AB31" i="15"/>
  <c r="AK31" i="15"/>
  <c r="AB39" i="15"/>
  <c r="AK39" i="15"/>
  <c r="AB47" i="15"/>
  <c r="AK47" i="15"/>
  <c r="AB8" i="15"/>
  <c r="AB20" i="15"/>
  <c r="K22" i="15"/>
  <c r="G22" i="15" s="1"/>
  <c r="K26" i="15"/>
  <c r="G26" i="15" s="1"/>
  <c r="K34" i="15"/>
  <c r="G34" i="15" s="1"/>
  <c r="K42" i="15"/>
  <c r="G42" i="15" s="1"/>
  <c r="K50" i="15"/>
  <c r="AK23" i="15"/>
  <c r="K38" i="15"/>
  <c r="G38" i="15" s="1"/>
  <c r="K49" i="15"/>
  <c r="K23" i="15"/>
  <c r="G23" i="15" s="1"/>
  <c r="K6" i="15"/>
  <c r="G6" i="15" s="1"/>
  <c r="S6" i="15" s="1"/>
  <c r="K7" i="15"/>
  <c r="G7" i="15" s="1"/>
  <c r="S7" i="15" s="1"/>
  <c r="AK7" i="15"/>
  <c r="K14" i="15"/>
  <c r="G14" i="15" s="1"/>
  <c r="S14" i="15" s="1"/>
  <c r="K15" i="15"/>
  <c r="G15" i="15" s="1"/>
  <c r="S15" i="15" s="1"/>
  <c r="AK15" i="15"/>
  <c r="AK19" i="15"/>
  <c r="AB27" i="15"/>
  <c r="AK27" i="15"/>
  <c r="AB35" i="15"/>
  <c r="AK35" i="15"/>
  <c r="AB43" i="15"/>
  <c r="AK43" i="15"/>
  <c r="K4" i="15"/>
  <c r="G4" i="15" s="1"/>
  <c r="S4" i="15" s="1"/>
  <c r="K8" i="15"/>
  <c r="G8" i="15" s="1"/>
  <c r="S8" i="15" s="1"/>
  <c r="K12" i="15"/>
  <c r="G12" i="15" s="1"/>
  <c r="S12" i="15" s="1"/>
  <c r="K16" i="15"/>
  <c r="G16" i="15" s="1"/>
  <c r="K20" i="15"/>
  <c r="G20" i="15" s="1"/>
  <c r="S20" i="15" s="1"/>
  <c r="K24" i="15"/>
  <c r="G24" i="15" s="1"/>
  <c r="K28" i="15"/>
  <c r="G28" i="15" s="1"/>
  <c r="K32" i="15"/>
  <c r="G32" i="15" s="1"/>
  <c r="K36" i="15"/>
  <c r="G36" i="15" s="1"/>
  <c r="K40" i="15"/>
  <c r="G40" i="15" s="1"/>
  <c r="K44" i="15"/>
  <c r="G44" i="15" s="1"/>
  <c r="K48" i="15"/>
  <c r="K5" i="15"/>
  <c r="G5" i="15" s="1"/>
  <c r="K9" i="15"/>
  <c r="G9" i="15" s="1"/>
  <c r="S9" i="15" s="1"/>
  <c r="K13" i="15"/>
  <c r="G13" i="15" s="1"/>
  <c r="S13" i="15" s="1"/>
  <c r="K17" i="15"/>
  <c r="G17" i="15" s="1"/>
  <c r="S17" i="15" s="1"/>
  <c r="K21" i="15"/>
  <c r="G21" i="15" s="1"/>
  <c r="K25" i="15"/>
  <c r="G25" i="15" s="1"/>
  <c r="K29" i="15"/>
  <c r="G29" i="15" s="1"/>
  <c r="K33" i="15"/>
  <c r="G33" i="15" s="1"/>
  <c r="K37" i="15"/>
  <c r="G37" i="15" s="1"/>
  <c r="K41" i="15"/>
  <c r="G41" i="15" s="1"/>
  <c r="K45" i="15"/>
  <c r="G45" i="15" s="1"/>
  <c r="AA25" i="15" l="1"/>
  <c r="AF25" i="15" s="1"/>
  <c r="O25" i="15"/>
  <c r="W25" i="15" s="1"/>
  <c r="S25" i="15"/>
  <c r="S24" i="15"/>
  <c r="O24" i="15"/>
  <c r="W24" i="15" s="1"/>
  <c r="AA24" i="15"/>
  <c r="AF24" i="15" s="1"/>
  <c r="AA42" i="15"/>
  <c r="AF42" i="15" s="1"/>
  <c r="S42" i="15"/>
  <c r="O42" i="15"/>
  <c r="W42" i="15" s="1"/>
  <c r="AA21" i="15"/>
  <c r="AF21" i="15" s="1"/>
  <c r="S21" i="15"/>
  <c r="O21" i="15"/>
  <c r="W21" i="15" s="1"/>
  <c r="AA34" i="15"/>
  <c r="AF34" i="15" s="1"/>
  <c r="S34" i="15"/>
  <c r="O34" i="15"/>
  <c r="W34" i="15" s="1"/>
  <c r="O27" i="15"/>
  <c r="W27" i="15" s="1"/>
  <c r="AA27" i="15"/>
  <c r="AF27" i="15" s="1"/>
  <c r="S27" i="15"/>
  <c r="AA33" i="15"/>
  <c r="AF33" i="15" s="1"/>
  <c r="O33" i="15"/>
  <c r="W33" i="15" s="1"/>
  <c r="S33" i="15"/>
  <c r="S32" i="15"/>
  <c r="O32" i="15"/>
  <c r="W32" i="15" s="1"/>
  <c r="AA32" i="15"/>
  <c r="AF32" i="15" s="1"/>
  <c r="AA26" i="15"/>
  <c r="AF26" i="15" s="1"/>
  <c r="S26" i="15"/>
  <c r="O26" i="15"/>
  <c r="W26" i="15" s="1"/>
  <c r="O35" i="15"/>
  <c r="W35" i="15" s="1"/>
  <c r="AA35" i="15"/>
  <c r="AF35" i="15" s="1"/>
  <c r="S35" i="15"/>
  <c r="AA41" i="15"/>
  <c r="AF41" i="15" s="1"/>
  <c r="O41" i="15"/>
  <c r="W41" i="15" s="1"/>
  <c r="S41" i="15"/>
  <c r="S40" i="15"/>
  <c r="AA40" i="15"/>
  <c r="AF40" i="15" s="1"/>
  <c r="O40" i="15"/>
  <c r="W40" i="15" s="1"/>
  <c r="S30" i="15"/>
  <c r="AA30" i="15"/>
  <c r="AF30" i="15" s="1"/>
  <c r="O30" i="15"/>
  <c r="W30" i="15" s="1"/>
  <c r="O43" i="15"/>
  <c r="W43" i="15" s="1"/>
  <c r="AA43" i="15"/>
  <c r="AF43" i="15" s="1"/>
  <c r="S43" i="15"/>
  <c r="AA37" i="15"/>
  <c r="AF37" i="15" s="1"/>
  <c r="O37" i="15"/>
  <c r="W37" i="15" s="1"/>
  <c r="S37" i="15"/>
  <c r="S36" i="15"/>
  <c r="O36" i="15"/>
  <c r="W36" i="15" s="1"/>
  <c r="AA36" i="15"/>
  <c r="AF36" i="15" s="1"/>
  <c r="S38" i="15"/>
  <c r="AA38" i="15"/>
  <c r="AF38" i="15" s="1"/>
  <c r="O38" i="15"/>
  <c r="W38" i="15" s="1"/>
  <c r="AA45" i="15"/>
  <c r="AF45" i="15" s="1"/>
  <c r="S45" i="15"/>
  <c r="O45" i="15"/>
  <c r="W45" i="15" s="1"/>
  <c r="AA29" i="15"/>
  <c r="AF29" i="15" s="1"/>
  <c r="O29" i="15"/>
  <c r="W29" i="15" s="1"/>
  <c r="S29" i="15"/>
  <c r="S44" i="15"/>
  <c r="O44" i="15"/>
  <c r="W44" i="15" s="1"/>
  <c r="AA44" i="15"/>
  <c r="AF44" i="15" s="1"/>
  <c r="S28" i="15"/>
  <c r="O28" i="15"/>
  <c r="W28" i="15" s="1"/>
  <c r="AA28" i="15"/>
  <c r="AF28" i="15" s="1"/>
  <c r="O23" i="15"/>
  <c r="W23" i="15" s="1"/>
  <c r="AA23" i="15"/>
  <c r="AF23" i="15" s="1"/>
  <c r="S23" i="15"/>
  <c r="AA22" i="15"/>
  <c r="AF22" i="15" s="1"/>
  <c r="S22" i="15"/>
  <c r="O22" i="15"/>
  <c r="W22" i="15" s="1"/>
  <c r="O31" i="15"/>
  <c r="W31" i="15" s="1"/>
  <c r="AA31" i="15"/>
  <c r="AF31" i="15" s="1"/>
  <c r="S31" i="15"/>
  <c r="O39" i="15"/>
  <c r="W39" i="15" s="1"/>
  <c r="AA39" i="15"/>
  <c r="AF39" i="15" s="1"/>
  <c r="S39" i="15"/>
  <c r="O16" i="15"/>
  <c r="W16" i="15" s="1"/>
  <c r="S16" i="15"/>
  <c r="O19" i="15"/>
  <c r="W19" i="15" s="1"/>
  <c r="AA19" i="15"/>
  <c r="AF19" i="15" s="1"/>
  <c r="S19" i="15"/>
  <c r="O2" i="15"/>
  <c r="W2" i="15" s="1"/>
  <c r="S5" i="15"/>
  <c r="O5" i="15"/>
  <c r="W5" i="15" s="1"/>
  <c r="O8" i="15"/>
  <c r="W8" i="15" s="1"/>
  <c r="AA20" i="15"/>
  <c r="AF20" i="15" s="1"/>
  <c r="O20" i="15"/>
  <c r="W20" i="15" s="1"/>
  <c r="O12" i="15"/>
  <c r="W12" i="15" s="1"/>
  <c r="O11" i="15"/>
  <c r="W11" i="15" s="1"/>
  <c r="O17" i="15"/>
  <c r="W17" i="15" s="1"/>
  <c r="O15" i="15"/>
  <c r="W15" i="15" s="1"/>
  <c r="O7" i="15"/>
  <c r="W7" i="15" s="1"/>
  <c r="O9" i="15"/>
  <c r="W9" i="15" s="1"/>
  <c r="O4" i="15"/>
  <c r="W4" i="15" s="1"/>
  <c r="O13" i="15"/>
  <c r="W13" i="15" s="1"/>
  <c r="O3" i="15"/>
  <c r="W3" i="15" s="1"/>
  <c r="O10" i="15"/>
  <c r="W10" i="15" s="1"/>
  <c r="O14" i="15"/>
  <c r="W14" i="15" s="1"/>
  <c r="O6" i="15"/>
  <c r="W6" i="15" s="1"/>
  <c r="O18" i="15"/>
  <c r="W18" i="15" s="1"/>
  <c r="AA18" i="15"/>
  <c r="AF18" i="15" s="1"/>
  <c r="AA16" i="15"/>
  <c r="AA11" i="15"/>
  <c r="AA10" i="15"/>
  <c r="AA5" i="15"/>
  <c r="AA9" i="15"/>
  <c r="AA7" i="15"/>
  <c r="AA3" i="15"/>
  <c r="AA12" i="15"/>
  <c r="AA2" i="15"/>
  <c r="AA15" i="15"/>
  <c r="AA13" i="15"/>
  <c r="AA6" i="15"/>
  <c r="AA17" i="15"/>
  <c r="AA14" i="15"/>
  <c r="AA8" i="15"/>
  <c r="AA4" i="15"/>
  <c r="AF4" i="15" l="1"/>
  <c r="AF8" i="15"/>
  <c r="AF14" i="15"/>
  <c r="AF17" i="15"/>
  <c r="AF6" i="15"/>
  <c r="AF13" i="15"/>
  <c r="AF15" i="15"/>
  <c r="AF2" i="15"/>
  <c r="AF12" i="15"/>
  <c r="AF3" i="15"/>
  <c r="AF7" i="15"/>
  <c r="AF9" i="15"/>
  <c r="AF5" i="15"/>
  <c r="AF10" i="15"/>
  <c r="AF11" i="15"/>
  <c r="AF16" i="15"/>
  <c r="E4" i="14"/>
  <c r="E3" i="14"/>
  <c r="R21" i="14"/>
  <c r="S21" i="14"/>
  <c r="R22" i="14"/>
  <c r="S22" i="14"/>
  <c r="R23" i="14"/>
  <c r="S23" i="14"/>
  <c r="R24" i="14"/>
  <c r="S24" i="14"/>
  <c r="R25" i="14"/>
  <c r="S25" i="14"/>
  <c r="R26" i="14"/>
  <c r="S26" i="14"/>
  <c r="R27" i="14"/>
  <c r="S27" i="14"/>
  <c r="R28" i="14"/>
  <c r="S28" i="14"/>
  <c r="R29" i="14"/>
  <c r="S29" i="14"/>
  <c r="R30" i="14"/>
  <c r="S30" i="14"/>
  <c r="R31" i="14"/>
  <c r="S31" i="14"/>
  <c r="R32" i="14"/>
  <c r="S32" i="14"/>
  <c r="R33" i="14"/>
  <c r="S33" i="14"/>
  <c r="R34" i="14"/>
  <c r="S34" i="14"/>
  <c r="R35" i="14"/>
  <c r="S35" i="14"/>
  <c r="R36" i="14"/>
  <c r="S36" i="14"/>
  <c r="R37" i="14"/>
  <c r="S37" i="14"/>
  <c r="R38" i="14"/>
  <c r="S38" i="14"/>
  <c r="R39" i="14"/>
  <c r="S39" i="14"/>
  <c r="R40" i="14"/>
  <c r="S40" i="14"/>
  <c r="R41" i="14"/>
  <c r="S41" i="14"/>
  <c r="R42" i="14"/>
  <c r="S42" i="14"/>
  <c r="R43" i="14"/>
  <c r="S43" i="14"/>
  <c r="R44" i="14"/>
  <c r="S44" i="14"/>
  <c r="R45" i="14"/>
  <c r="S45" i="14"/>
  <c r="R46" i="14"/>
  <c r="S46" i="14"/>
  <c r="R47" i="14"/>
  <c r="S47" i="14"/>
  <c r="R48" i="14"/>
  <c r="S48" i="14"/>
  <c r="R49" i="14"/>
  <c r="S49" i="14"/>
  <c r="R50" i="14"/>
  <c r="S5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AB3" i="14"/>
  <c r="AB4" i="14"/>
  <c r="AB5" i="14"/>
  <c r="AB6" i="14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AB50" i="14"/>
  <c r="AB2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Q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2" i="14"/>
  <c r="P50" i="14"/>
  <c r="L50" i="14"/>
  <c r="K50" i="14"/>
  <c r="I50" i="14"/>
  <c r="H50" i="14"/>
  <c r="P49" i="14"/>
  <c r="L49" i="14"/>
  <c r="K49" i="14"/>
  <c r="I49" i="14"/>
  <c r="H49" i="14"/>
  <c r="P48" i="14"/>
  <c r="L48" i="14"/>
  <c r="K48" i="14"/>
  <c r="I48" i="14"/>
  <c r="H48" i="14"/>
  <c r="P47" i="14"/>
  <c r="L47" i="14"/>
  <c r="K47" i="14"/>
  <c r="I47" i="14"/>
  <c r="H47" i="14"/>
  <c r="P46" i="14"/>
  <c r="L46" i="14"/>
  <c r="K46" i="14"/>
  <c r="I46" i="14"/>
  <c r="H46" i="14"/>
  <c r="P45" i="14"/>
  <c r="L45" i="14"/>
  <c r="K45" i="14"/>
  <c r="I45" i="14"/>
  <c r="H45" i="14"/>
  <c r="P44" i="14"/>
  <c r="L44" i="14"/>
  <c r="K44" i="14"/>
  <c r="I44" i="14"/>
  <c r="H44" i="14"/>
  <c r="P43" i="14"/>
  <c r="L43" i="14"/>
  <c r="K43" i="14"/>
  <c r="I43" i="14"/>
  <c r="H43" i="14"/>
  <c r="P42" i="14"/>
  <c r="L42" i="14"/>
  <c r="K42" i="14"/>
  <c r="I42" i="14"/>
  <c r="H42" i="14"/>
  <c r="P41" i="14"/>
  <c r="L41" i="14"/>
  <c r="K41" i="14"/>
  <c r="I41" i="14"/>
  <c r="H41" i="14"/>
  <c r="P40" i="14"/>
  <c r="L40" i="14"/>
  <c r="K40" i="14"/>
  <c r="I40" i="14"/>
  <c r="H40" i="14"/>
  <c r="P39" i="14"/>
  <c r="L39" i="14"/>
  <c r="K39" i="14"/>
  <c r="I39" i="14"/>
  <c r="H39" i="14"/>
  <c r="P38" i="14"/>
  <c r="L38" i="14"/>
  <c r="K38" i="14"/>
  <c r="I38" i="14"/>
  <c r="H38" i="14"/>
  <c r="P37" i="14"/>
  <c r="L37" i="14"/>
  <c r="K37" i="14"/>
  <c r="I37" i="14"/>
  <c r="H37" i="14"/>
  <c r="P36" i="14"/>
  <c r="L36" i="14"/>
  <c r="K36" i="14"/>
  <c r="I36" i="14"/>
  <c r="H36" i="14"/>
  <c r="P35" i="14"/>
  <c r="L35" i="14"/>
  <c r="K35" i="14"/>
  <c r="I35" i="14"/>
  <c r="H35" i="14"/>
  <c r="P34" i="14"/>
  <c r="L34" i="14"/>
  <c r="K34" i="14"/>
  <c r="I34" i="14"/>
  <c r="H34" i="14"/>
  <c r="P33" i="14"/>
  <c r="L33" i="14"/>
  <c r="K33" i="14"/>
  <c r="I33" i="14"/>
  <c r="H33" i="14"/>
  <c r="P32" i="14"/>
  <c r="L32" i="14"/>
  <c r="K32" i="14"/>
  <c r="I32" i="14"/>
  <c r="H32" i="14"/>
  <c r="P31" i="14"/>
  <c r="L31" i="14"/>
  <c r="K31" i="14"/>
  <c r="I31" i="14"/>
  <c r="H31" i="14"/>
  <c r="P30" i="14"/>
  <c r="L30" i="14"/>
  <c r="K30" i="14"/>
  <c r="I30" i="14"/>
  <c r="H30" i="14"/>
  <c r="P29" i="14"/>
  <c r="L29" i="14"/>
  <c r="K29" i="14"/>
  <c r="I29" i="14"/>
  <c r="H29" i="14"/>
  <c r="P28" i="14"/>
  <c r="L28" i="14"/>
  <c r="K28" i="14"/>
  <c r="I28" i="14"/>
  <c r="H28" i="14"/>
  <c r="P27" i="14"/>
  <c r="L27" i="14"/>
  <c r="K27" i="14"/>
  <c r="I27" i="14"/>
  <c r="H27" i="14"/>
  <c r="P26" i="14"/>
  <c r="L26" i="14"/>
  <c r="K26" i="14"/>
  <c r="I26" i="14"/>
  <c r="H26" i="14"/>
  <c r="P25" i="14"/>
  <c r="L25" i="14"/>
  <c r="K25" i="14"/>
  <c r="I25" i="14"/>
  <c r="H25" i="14"/>
  <c r="P24" i="14"/>
  <c r="L24" i="14"/>
  <c r="K24" i="14"/>
  <c r="I24" i="14"/>
  <c r="H24" i="14"/>
  <c r="P23" i="14"/>
  <c r="L23" i="14"/>
  <c r="K23" i="14"/>
  <c r="I23" i="14"/>
  <c r="H23" i="14"/>
  <c r="P22" i="14"/>
  <c r="L22" i="14"/>
  <c r="K22" i="14"/>
  <c r="I22" i="14"/>
  <c r="H22" i="14"/>
  <c r="P21" i="14"/>
  <c r="L21" i="14"/>
  <c r="K21" i="14"/>
  <c r="I21" i="14"/>
  <c r="H21" i="14"/>
  <c r="L20" i="14"/>
  <c r="K20" i="14"/>
  <c r="H20" i="14"/>
  <c r="L19" i="14"/>
  <c r="K19" i="14"/>
  <c r="H19" i="14"/>
  <c r="L18" i="14"/>
  <c r="K18" i="14"/>
  <c r="H18" i="14"/>
  <c r="L17" i="14"/>
  <c r="K17" i="14"/>
  <c r="H17" i="14"/>
  <c r="L16" i="14"/>
  <c r="K16" i="14"/>
  <c r="H16" i="14"/>
  <c r="L15" i="14"/>
  <c r="K15" i="14"/>
  <c r="H15" i="14"/>
  <c r="L14" i="14"/>
  <c r="K14" i="14"/>
  <c r="H14" i="14"/>
  <c r="L13" i="14"/>
  <c r="K13" i="14"/>
  <c r="H13" i="14"/>
  <c r="L12" i="14"/>
  <c r="K12" i="14"/>
  <c r="H12" i="14"/>
  <c r="L11" i="14"/>
  <c r="K11" i="14"/>
  <c r="H11" i="14"/>
  <c r="L10" i="14"/>
  <c r="K10" i="14"/>
  <c r="H10" i="14"/>
  <c r="L9" i="14"/>
  <c r="K9" i="14"/>
  <c r="H9" i="14"/>
  <c r="L8" i="14"/>
  <c r="K8" i="14"/>
  <c r="H8" i="14"/>
  <c r="L7" i="14"/>
  <c r="K7" i="14"/>
  <c r="H7" i="14"/>
  <c r="L6" i="14"/>
  <c r="K6" i="14"/>
  <c r="H6" i="14"/>
  <c r="L5" i="14"/>
  <c r="K5" i="14"/>
  <c r="H5" i="14"/>
  <c r="L4" i="14"/>
  <c r="K4" i="14"/>
  <c r="H4" i="14"/>
  <c r="L3" i="14"/>
  <c r="K3" i="14"/>
  <c r="H3" i="14"/>
  <c r="L2" i="14"/>
  <c r="M2" i="14" s="1"/>
  <c r="K2" i="14"/>
  <c r="H2" i="14"/>
  <c r="Y13" i="14" l="1"/>
  <c r="F11" i="14" s="1"/>
  <c r="Y11" i="14"/>
  <c r="F6" i="14" s="1"/>
  <c r="Y7" i="14"/>
  <c r="Y3" i="14"/>
  <c r="Y21" i="14" s="1"/>
  <c r="I2" i="14"/>
  <c r="AA2" i="14" s="1"/>
  <c r="M8" i="14"/>
  <c r="I8" i="14" s="1"/>
  <c r="M3" i="14"/>
  <c r="I3" i="14" s="1"/>
  <c r="AA3" i="14" s="1"/>
  <c r="M4" i="14"/>
  <c r="I4" i="14" s="1"/>
  <c r="AA4" i="14" s="1"/>
  <c r="M6" i="14"/>
  <c r="I6" i="14" s="1"/>
  <c r="AA6" i="14" s="1"/>
  <c r="M50" i="14"/>
  <c r="M46" i="14"/>
  <c r="M42" i="14"/>
  <c r="M38" i="14"/>
  <c r="M34" i="14"/>
  <c r="M30" i="14"/>
  <c r="M26" i="14"/>
  <c r="M22" i="14"/>
  <c r="M18" i="14"/>
  <c r="I18" i="14" s="1"/>
  <c r="AA18" i="14" s="1"/>
  <c r="M14" i="14"/>
  <c r="I14" i="14" s="1"/>
  <c r="AA14" i="14" s="1"/>
  <c r="M10" i="14"/>
  <c r="I10" i="14" s="1"/>
  <c r="AA10" i="14" s="1"/>
  <c r="M49" i="14"/>
  <c r="M45" i="14"/>
  <c r="M41" i="14"/>
  <c r="M37" i="14"/>
  <c r="M33" i="14"/>
  <c r="M29" i="14"/>
  <c r="M25" i="14"/>
  <c r="M21" i="14"/>
  <c r="M17" i="14"/>
  <c r="I17" i="14" s="1"/>
  <c r="M13" i="14"/>
  <c r="I13" i="14" s="1"/>
  <c r="M9" i="14"/>
  <c r="I9" i="14" s="1"/>
  <c r="AA9" i="14" s="1"/>
  <c r="M5" i="14"/>
  <c r="I5" i="14" s="1"/>
  <c r="AA5" i="14" s="1"/>
  <c r="M48" i="14"/>
  <c r="M44" i="14"/>
  <c r="M40" i="14"/>
  <c r="M36" i="14"/>
  <c r="M32" i="14"/>
  <c r="M28" i="14"/>
  <c r="M24" i="14"/>
  <c r="M20" i="14"/>
  <c r="I20" i="14" s="1"/>
  <c r="M16" i="14"/>
  <c r="I16" i="14" s="1"/>
  <c r="AA16" i="14" s="1"/>
  <c r="M47" i="14"/>
  <c r="M43" i="14"/>
  <c r="M39" i="14"/>
  <c r="M35" i="14"/>
  <c r="M31" i="14"/>
  <c r="M27" i="14"/>
  <c r="M23" i="14"/>
  <c r="M19" i="14"/>
  <c r="I19" i="14" s="1"/>
  <c r="AA19" i="14" s="1"/>
  <c r="M15" i="14"/>
  <c r="I15" i="14" s="1"/>
  <c r="AA15" i="14" s="1"/>
  <c r="M11" i="14"/>
  <c r="I11" i="14" s="1"/>
  <c r="AA11" i="14" s="1"/>
  <c r="M7" i="14"/>
  <c r="I7" i="14" s="1"/>
  <c r="AA7" i="14" s="1"/>
  <c r="M12" i="14"/>
  <c r="I12" i="14" s="1"/>
  <c r="AA12" i="14" s="1"/>
  <c r="AA8" i="14"/>
  <c r="AA13" i="14"/>
  <c r="AA17" i="14"/>
  <c r="AE2" i="14"/>
  <c r="Y22" i="14" l="1"/>
  <c r="F7" i="14" s="1"/>
  <c r="P16" i="14"/>
  <c r="P19" i="14"/>
  <c r="P5" i="14"/>
  <c r="P8" i="14"/>
  <c r="P17" i="14"/>
  <c r="P14" i="14"/>
  <c r="P12" i="14"/>
  <c r="P10" i="14"/>
  <c r="P18" i="14"/>
  <c r="P4" i="14"/>
  <c r="P11" i="14"/>
  <c r="P2" i="14"/>
  <c r="P13" i="14"/>
  <c r="P7" i="14"/>
  <c r="P20" i="14"/>
  <c r="P15" i="14"/>
  <c r="P9" i="14"/>
  <c r="AA20" i="14"/>
  <c r="P6" i="14"/>
  <c r="P3" i="14"/>
  <c r="Y2" i="14" l="1"/>
  <c r="Y14" i="14" s="1"/>
  <c r="Y23" i="14"/>
  <c r="F8" i="14" s="1"/>
  <c r="Y4" i="14"/>
  <c r="Y8" i="14"/>
  <c r="Y5" i="14"/>
  <c r="Y6" i="14"/>
  <c r="Y17" i="14" l="1"/>
  <c r="T51" i="14" s="1"/>
  <c r="V7" i="14"/>
  <c r="S7" i="14" s="1"/>
  <c r="V11" i="14"/>
  <c r="R11" i="14" s="1"/>
  <c r="V14" i="14"/>
  <c r="R14" i="14" s="1"/>
  <c r="V15" i="14"/>
  <c r="R15" i="14" s="1"/>
  <c r="V9" i="14"/>
  <c r="S9" i="14" s="1"/>
  <c r="V20" i="14"/>
  <c r="S20" i="14" s="1"/>
  <c r="V16" i="14"/>
  <c r="R16" i="14" s="1"/>
  <c r="V6" i="14"/>
  <c r="R6" i="14" s="1"/>
  <c r="V5" i="14"/>
  <c r="S5" i="14" s="1"/>
  <c r="V12" i="14"/>
  <c r="S12" i="14" s="1"/>
  <c r="V2" i="14"/>
  <c r="R2" i="14" s="1"/>
  <c r="V3" i="14"/>
  <c r="S3" i="14" s="1"/>
  <c r="V17" i="14"/>
  <c r="R17" i="14" s="1"/>
  <c r="V18" i="14"/>
  <c r="S18" i="14" s="1"/>
  <c r="V8" i="14"/>
  <c r="S8" i="14" s="1"/>
  <c r="V19" i="14"/>
  <c r="S19" i="14" s="1"/>
  <c r="V13" i="14"/>
  <c r="S13" i="14" s="1"/>
  <c r="V10" i="14"/>
  <c r="S10" i="14" s="1"/>
  <c r="V4" i="14"/>
  <c r="S4" i="14" s="1"/>
  <c r="Y18" i="14"/>
  <c r="F3" i="14" s="1"/>
  <c r="Y10" i="14"/>
  <c r="F2" i="14" s="1"/>
  <c r="S11" i="14" l="1"/>
  <c r="F12" i="14"/>
  <c r="S15" i="14"/>
  <c r="R7" i="14"/>
  <c r="S14" i="14"/>
  <c r="R5" i="14"/>
  <c r="R20" i="14"/>
  <c r="S17" i="14"/>
  <c r="R10" i="14"/>
  <c r="S16" i="14"/>
  <c r="R18" i="14"/>
  <c r="R12" i="14"/>
  <c r="S6" i="14"/>
  <c r="R3" i="14"/>
  <c r="Y19" i="14"/>
  <c r="F4" i="14" s="1"/>
  <c r="R19" i="14"/>
  <c r="R9" i="14"/>
  <c r="R4" i="14"/>
  <c r="R8" i="14"/>
  <c r="S2" i="14"/>
  <c r="R13" i="14"/>
  <c r="J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V21" i="11" l="1"/>
  <c r="W21" i="11"/>
  <c r="V22" i="11"/>
  <c r="W22" i="11"/>
  <c r="V23" i="11"/>
  <c r="W23" i="11"/>
  <c r="V24" i="11"/>
  <c r="W24" i="11"/>
  <c r="V25" i="11"/>
  <c r="W25" i="11"/>
  <c r="V26" i="11"/>
  <c r="W26" i="11"/>
  <c r="V27" i="11"/>
  <c r="W27" i="11"/>
  <c r="V28" i="11"/>
  <c r="W28" i="11"/>
  <c r="V29" i="11"/>
  <c r="W29" i="11"/>
  <c r="V30" i="11"/>
  <c r="W30" i="11"/>
  <c r="V31" i="11"/>
  <c r="W31" i="11"/>
  <c r="V32" i="11"/>
  <c r="W32" i="11"/>
  <c r="V33" i="11"/>
  <c r="W33" i="11"/>
  <c r="V34" i="11"/>
  <c r="W34" i="11"/>
  <c r="V35" i="11"/>
  <c r="W35" i="11"/>
  <c r="V36" i="11"/>
  <c r="W36" i="11"/>
  <c r="V37" i="11"/>
  <c r="W37" i="11"/>
  <c r="V38" i="11"/>
  <c r="W38" i="11"/>
  <c r="V39" i="11"/>
  <c r="W39" i="11"/>
  <c r="V40" i="11"/>
  <c r="W40" i="11"/>
  <c r="V41" i="11"/>
  <c r="W41" i="11"/>
  <c r="V42" i="11"/>
  <c r="W42" i="11"/>
  <c r="V43" i="11"/>
  <c r="W43" i="11"/>
  <c r="V44" i="11"/>
  <c r="W44" i="11"/>
  <c r="V45" i="11"/>
  <c r="W45" i="11"/>
  <c r="V46" i="11"/>
  <c r="W46" i="11"/>
  <c r="V47" i="11"/>
  <c r="W47" i="11"/>
  <c r="V48" i="11"/>
  <c r="W48" i="11"/>
  <c r="V49" i="11"/>
  <c r="W49" i="11"/>
  <c r="V50" i="11"/>
  <c r="W5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2" i="11"/>
  <c r="U3" i="1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2" i="11"/>
  <c r="R21" i="11" l="1"/>
  <c r="S21" i="11"/>
  <c r="R22" i="11"/>
  <c r="S22" i="11"/>
  <c r="R23" i="11"/>
  <c r="S23" i="11"/>
  <c r="R24" i="11"/>
  <c r="S24" i="11"/>
  <c r="R25" i="11"/>
  <c r="S25" i="11"/>
  <c r="R26" i="11"/>
  <c r="S26" i="11"/>
  <c r="R27" i="11"/>
  <c r="S27" i="11"/>
  <c r="R28" i="11"/>
  <c r="S28" i="11"/>
  <c r="R29" i="11"/>
  <c r="S29" i="11"/>
  <c r="R30" i="11"/>
  <c r="S30" i="11"/>
  <c r="R31" i="11"/>
  <c r="S31" i="11"/>
  <c r="R32" i="11"/>
  <c r="S32" i="11"/>
  <c r="R33" i="11"/>
  <c r="S33" i="11"/>
  <c r="R34" i="11"/>
  <c r="S34" i="11"/>
  <c r="R35" i="11"/>
  <c r="S35" i="11"/>
  <c r="R36" i="11"/>
  <c r="S36" i="11"/>
  <c r="R37" i="11"/>
  <c r="S37" i="11"/>
  <c r="R38" i="11"/>
  <c r="S38" i="11"/>
  <c r="R39" i="11"/>
  <c r="S39" i="11"/>
  <c r="R40" i="11"/>
  <c r="S40" i="11"/>
  <c r="R41" i="11"/>
  <c r="S41" i="11"/>
  <c r="R42" i="11"/>
  <c r="S42" i="11"/>
  <c r="R43" i="11"/>
  <c r="S43" i="11"/>
  <c r="R44" i="11"/>
  <c r="S44" i="11"/>
  <c r="R45" i="11"/>
  <c r="S45" i="11"/>
  <c r="R46" i="11"/>
  <c r="S46" i="11"/>
  <c r="R47" i="11"/>
  <c r="S47" i="11"/>
  <c r="R48" i="11"/>
  <c r="S48" i="11"/>
  <c r="R49" i="11"/>
  <c r="S49" i="11"/>
  <c r="R50" i="11"/>
  <c r="S5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Q50" i="11" l="1"/>
  <c r="P50" i="11"/>
  <c r="O50" i="11"/>
  <c r="K50" i="11"/>
  <c r="J50" i="11"/>
  <c r="H50" i="11"/>
  <c r="G50" i="11"/>
  <c r="Q49" i="11"/>
  <c r="P49" i="11"/>
  <c r="O49" i="11"/>
  <c r="K49" i="11"/>
  <c r="J49" i="11"/>
  <c r="H49" i="11"/>
  <c r="G49" i="11"/>
  <c r="Q48" i="11"/>
  <c r="P48" i="11"/>
  <c r="O48" i="11"/>
  <c r="K48" i="11"/>
  <c r="J48" i="11"/>
  <c r="H48" i="11"/>
  <c r="G48" i="11"/>
  <c r="Q47" i="11"/>
  <c r="P47" i="11"/>
  <c r="O47" i="11"/>
  <c r="K47" i="11"/>
  <c r="J47" i="11"/>
  <c r="H47" i="11"/>
  <c r="G47" i="11"/>
  <c r="Q46" i="11"/>
  <c r="P46" i="11"/>
  <c r="O46" i="11"/>
  <c r="K46" i="11"/>
  <c r="J46" i="11"/>
  <c r="H46" i="11"/>
  <c r="G46" i="11"/>
  <c r="Q45" i="11"/>
  <c r="P45" i="11"/>
  <c r="O45" i="11"/>
  <c r="K45" i="11"/>
  <c r="J45" i="11"/>
  <c r="H45" i="11"/>
  <c r="G45" i="11"/>
  <c r="Q44" i="11"/>
  <c r="P44" i="11"/>
  <c r="O44" i="11"/>
  <c r="K44" i="11"/>
  <c r="J44" i="11"/>
  <c r="H44" i="11"/>
  <c r="G44" i="11"/>
  <c r="Q43" i="11"/>
  <c r="P43" i="11"/>
  <c r="O43" i="11"/>
  <c r="K43" i="11"/>
  <c r="J43" i="11"/>
  <c r="H43" i="11"/>
  <c r="G43" i="11"/>
  <c r="Q42" i="11"/>
  <c r="P42" i="11"/>
  <c r="O42" i="11"/>
  <c r="K42" i="11"/>
  <c r="J42" i="11"/>
  <c r="H42" i="11"/>
  <c r="G42" i="11"/>
  <c r="Q41" i="11"/>
  <c r="P41" i="11"/>
  <c r="O41" i="11"/>
  <c r="K41" i="11"/>
  <c r="J41" i="11"/>
  <c r="H41" i="11"/>
  <c r="G41" i="11"/>
  <c r="Q40" i="11"/>
  <c r="P40" i="11"/>
  <c r="O40" i="11"/>
  <c r="K40" i="11"/>
  <c r="J40" i="11"/>
  <c r="H40" i="11"/>
  <c r="G40" i="11"/>
  <c r="Q39" i="11"/>
  <c r="P39" i="11"/>
  <c r="O39" i="11"/>
  <c r="K39" i="11"/>
  <c r="J39" i="11"/>
  <c r="H39" i="11"/>
  <c r="G39" i="11"/>
  <c r="Q38" i="11"/>
  <c r="P38" i="11"/>
  <c r="O38" i="11"/>
  <c r="K38" i="11"/>
  <c r="J38" i="11"/>
  <c r="H38" i="11"/>
  <c r="G38" i="11"/>
  <c r="Q37" i="11"/>
  <c r="P37" i="11"/>
  <c r="O37" i="11"/>
  <c r="K37" i="11"/>
  <c r="J37" i="11"/>
  <c r="H37" i="11"/>
  <c r="G37" i="11"/>
  <c r="Q36" i="11"/>
  <c r="P36" i="11"/>
  <c r="O36" i="11"/>
  <c r="K36" i="11"/>
  <c r="J36" i="11"/>
  <c r="H36" i="11"/>
  <c r="G36" i="11"/>
  <c r="Q35" i="11"/>
  <c r="P35" i="11"/>
  <c r="O35" i="11"/>
  <c r="K35" i="11"/>
  <c r="J35" i="11"/>
  <c r="H35" i="11"/>
  <c r="G35" i="11"/>
  <c r="Q34" i="11"/>
  <c r="P34" i="11"/>
  <c r="O34" i="11"/>
  <c r="K34" i="11"/>
  <c r="J34" i="11"/>
  <c r="H34" i="11"/>
  <c r="G34" i="11"/>
  <c r="Q33" i="11"/>
  <c r="P33" i="11"/>
  <c r="O33" i="11"/>
  <c r="K33" i="11"/>
  <c r="J33" i="11"/>
  <c r="H33" i="11"/>
  <c r="G33" i="11"/>
  <c r="Q32" i="11"/>
  <c r="P32" i="11"/>
  <c r="O32" i="11"/>
  <c r="K32" i="11"/>
  <c r="J32" i="11"/>
  <c r="H32" i="11"/>
  <c r="G32" i="11"/>
  <c r="Q31" i="11"/>
  <c r="P31" i="11"/>
  <c r="O31" i="11"/>
  <c r="K31" i="11"/>
  <c r="J31" i="11"/>
  <c r="H31" i="11"/>
  <c r="G31" i="11"/>
  <c r="Q30" i="11"/>
  <c r="P30" i="11"/>
  <c r="O30" i="11"/>
  <c r="K30" i="11"/>
  <c r="J30" i="11"/>
  <c r="H30" i="11"/>
  <c r="G30" i="11"/>
  <c r="Q29" i="11"/>
  <c r="P29" i="11"/>
  <c r="O29" i="11"/>
  <c r="K29" i="11"/>
  <c r="J29" i="11"/>
  <c r="H29" i="11"/>
  <c r="G29" i="11"/>
  <c r="Q28" i="11"/>
  <c r="P28" i="11"/>
  <c r="O28" i="11"/>
  <c r="K28" i="11"/>
  <c r="J28" i="11"/>
  <c r="H28" i="11"/>
  <c r="G28" i="11"/>
  <c r="Q27" i="11"/>
  <c r="P27" i="11"/>
  <c r="O27" i="11"/>
  <c r="K27" i="11"/>
  <c r="J27" i="11"/>
  <c r="H27" i="11"/>
  <c r="G27" i="11"/>
  <c r="Q26" i="11"/>
  <c r="P26" i="11"/>
  <c r="O26" i="11"/>
  <c r="K26" i="11"/>
  <c r="J26" i="11"/>
  <c r="H26" i="11"/>
  <c r="G26" i="11"/>
  <c r="Q25" i="11"/>
  <c r="P25" i="11"/>
  <c r="O25" i="11"/>
  <c r="K25" i="11"/>
  <c r="J25" i="11"/>
  <c r="H25" i="11"/>
  <c r="G25" i="11"/>
  <c r="Q24" i="11"/>
  <c r="P24" i="11"/>
  <c r="O24" i="11"/>
  <c r="K24" i="11"/>
  <c r="J24" i="11"/>
  <c r="H24" i="11"/>
  <c r="G24" i="11"/>
  <c r="Q23" i="11"/>
  <c r="P23" i="11"/>
  <c r="O23" i="11"/>
  <c r="K23" i="11"/>
  <c r="J23" i="11"/>
  <c r="H23" i="11"/>
  <c r="G23" i="11"/>
  <c r="Q22" i="11"/>
  <c r="P22" i="11"/>
  <c r="O22" i="11"/>
  <c r="K22" i="11"/>
  <c r="J22" i="11"/>
  <c r="H22" i="11"/>
  <c r="G22" i="11"/>
  <c r="Q21" i="11"/>
  <c r="P21" i="11"/>
  <c r="O21" i="11"/>
  <c r="K21" i="11"/>
  <c r="J21" i="11"/>
  <c r="H21" i="11"/>
  <c r="G21" i="11"/>
  <c r="Q20" i="11"/>
  <c r="O20" i="11"/>
  <c r="K20" i="11"/>
  <c r="J20" i="11"/>
  <c r="G20" i="11"/>
  <c r="Q19" i="11"/>
  <c r="O19" i="11"/>
  <c r="K19" i="11"/>
  <c r="G19" i="11"/>
  <c r="Q18" i="11"/>
  <c r="O18" i="11"/>
  <c r="K18" i="11"/>
  <c r="G18" i="11"/>
  <c r="Q17" i="11"/>
  <c r="O17" i="11"/>
  <c r="K17" i="11"/>
  <c r="G17" i="11"/>
  <c r="Q16" i="11"/>
  <c r="O16" i="11"/>
  <c r="K16" i="11"/>
  <c r="G16" i="11"/>
  <c r="Q15" i="11"/>
  <c r="O15" i="11"/>
  <c r="K15" i="11"/>
  <c r="G15" i="11"/>
  <c r="Q14" i="11"/>
  <c r="O14" i="11"/>
  <c r="K14" i="11"/>
  <c r="G14" i="11"/>
  <c r="Q13" i="11"/>
  <c r="O13" i="11"/>
  <c r="K13" i="11"/>
  <c r="G13" i="11"/>
  <c r="Q12" i="11"/>
  <c r="O12" i="11"/>
  <c r="K12" i="11"/>
  <c r="G12" i="11"/>
  <c r="Q11" i="11"/>
  <c r="O11" i="11"/>
  <c r="K11" i="11"/>
  <c r="G11" i="11"/>
  <c r="Q10" i="11"/>
  <c r="O10" i="11"/>
  <c r="K10" i="11"/>
  <c r="G10" i="11"/>
  <c r="Q9" i="11"/>
  <c r="O9" i="11"/>
  <c r="K9" i="11"/>
  <c r="G9" i="11"/>
  <c r="Q8" i="11"/>
  <c r="O8" i="11"/>
  <c r="K8" i="11"/>
  <c r="G8" i="11"/>
  <c r="Q7" i="11"/>
  <c r="O7" i="11"/>
  <c r="K7" i="11"/>
  <c r="G7" i="11"/>
  <c r="Q6" i="11"/>
  <c r="O6" i="11"/>
  <c r="K6" i="11"/>
  <c r="G6" i="11"/>
  <c r="Q5" i="11"/>
  <c r="O5" i="11"/>
  <c r="K5" i="11"/>
  <c r="G5" i="11"/>
  <c r="Q4" i="11"/>
  <c r="O4" i="11"/>
  <c r="K4" i="11"/>
  <c r="G4" i="11"/>
  <c r="Q3" i="11"/>
  <c r="O3" i="11"/>
  <c r="K3" i="11"/>
  <c r="G3" i="11"/>
  <c r="Q2" i="11"/>
  <c r="O2" i="11"/>
  <c r="K2" i="11"/>
  <c r="G2" i="11"/>
  <c r="AB9" i="11" l="1"/>
  <c r="AB5" i="11"/>
  <c r="F5" i="11" s="1"/>
  <c r="AG2" i="11"/>
  <c r="AG4" i="11"/>
  <c r="AD6" i="11"/>
  <c r="L8" i="11"/>
  <c r="H8" i="11" s="1"/>
  <c r="I8" i="11" s="1"/>
  <c r="L6" i="11"/>
  <c r="H6" i="11" s="1"/>
  <c r="I6" i="11" s="1"/>
  <c r="L12" i="11"/>
  <c r="H12" i="11" s="1"/>
  <c r="I12" i="11" s="1"/>
  <c r="L2" i="11"/>
  <c r="H2" i="11" s="1"/>
  <c r="I2" i="11" s="1"/>
  <c r="L10" i="11"/>
  <c r="H10" i="11" s="1"/>
  <c r="P10" i="11" s="1"/>
  <c r="L4" i="11"/>
  <c r="H4" i="11" s="1"/>
  <c r="I4" i="11" s="1"/>
  <c r="L50" i="11"/>
  <c r="AB7" i="11"/>
  <c r="AB8" i="11"/>
  <c r="L3" i="11"/>
  <c r="H3" i="11" s="1"/>
  <c r="L5" i="11"/>
  <c r="H5" i="11" s="1"/>
  <c r="L7" i="11"/>
  <c r="H7" i="11" s="1"/>
  <c r="L9" i="11"/>
  <c r="H9" i="11" s="1"/>
  <c r="L11" i="11"/>
  <c r="H11" i="11" s="1"/>
  <c r="L13" i="11"/>
  <c r="H13" i="11" s="1"/>
  <c r="L14" i="11"/>
  <c r="H14" i="11" s="1"/>
  <c r="L15" i="11"/>
  <c r="H15" i="11" s="1"/>
  <c r="L16" i="11"/>
  <c r="H16" i="11" s="1"/>
  <c r="L17" i="11"/>
  <c r="H17" i="11" s="1"/>
  <c r="L18" i="11"/>
  <c r="H18" i="11" s="1"/>
  <c r="L19" i="11"/>
  <c r="H19" i="11" s="1"/>
  <c r="L20" i="11"/>
  <c r="H20" i="11" s="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AD7" i="11"/>
  <c r="I20" i="11" l="1"/>
  <c r="P20" i="11"/>
  <c r="I19" i="11"/>
  <c r="P19" i="11"/>
  <c r="P12" i="11"/>
  <c r="P6" i="11"/>
  <c r="P8" i="11"/>
  <c r="P4" i="11"/>
  <c r="P2" i="11"/>
  <c r="I10" i="11"/>
  <c r="AB6" i="11"/>
  <c r="I16" i="11"/>
  <c r="P16" i="11"/>
  <c r="I15" i="11"/>
  <c r="P15" i="11"/>
  <c r="I18" i="11"/>
  <c r="P18" i="11"/>
  <c r="I14" i="11"/>
  <c r="P14" i="11"/>
  <c r="I17" i="11"/>
  <c r="P17" i="11"/>
  <c r="I13" i="11"/>
  <c r="P13" i="11"/>
  <c r="P7" i="11"/>
  <c r="I7" i="11"/>
  <c r="P11" i="11"/>
  <c r="I11" i="11"/>
  <c r="P3" i="11"/>
  <c r="I3" i="11"/>
  <c r="P5" i="11"/>
  <c r="I5" i="11"/>
  <c r="P9" i="11"/>
  <c r="I9" i="11"/>
  <c r="X20" i="11" l="1"/>
  <c r="Y20" i="11"/>
  <c r="AB2" i="11"/>
  <c r="Y19" i="11"/>
  <c r="X19" i="11"/>
  <c r="AB10" i="11"/>
  <c r="Y6" i="11"/>
  <c r="X5" i="11"/>
  <c r="Y12" i="11"/>
  <c r="Y17" i="11"/>
  <c r="Y7" i="11"/>
  <c r="X6" i="11"/>
  <c r="Y4" i="11"/>
  <c r="X11" i="11"/>
  <c r="X4" i="11"/>
  <c r="X13" i="11"/>
  <c r="Y18" i="11"/>
  <c r="Y3" i="11"/>
  <c r="X3" i="11"/>
  <c r="Y10" i="11"/>
  <c r="X9" i="11"/>
  <c r="X7" i="11"/>
  <c r="X8" i="11"/>
  <c r="Y11" i="11"/>
  <c r="X10" i="11"/>
  <c r="Y8" i="11"/>
  <c r="X2" i="11"/>
  <c r="X12" i="11"/>
  <c r="Y14" i="11"/>
  <c r="X15" i="11"/>
  <c r="X16" i="11"/>
  <c r="Y15" i="11"/>
  <c r="X14" i="11"/>
  <c r="Y16" i="11"/>
  <c r="Y5" i="11"/>
  <c r="X17" i="11"/>
  <c r="Y9" i="11"/>
  <c r="Y2" i="11"/>
  <c r="X18" i="11"/>
  <c r="Y13" i="11"/>
  <c r="D5" i="9"/>
  <c r="E5" i="9"/>
  <c r="D6" i="9"/>
  <c r="E6" i="9"/>
  <c r="D7" i="9"/>
  <c r="E7" i="9"/>
  <c r="D8" i="9"/>
  <c r="E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D118" i="9"/>
  <c r="E118" i="9"/>
  <c r="D119" i="9"/>
  <c r="E119" i="9"/>
  <c r="D120" i="9"/>
  <c r="E120" i="9"/>
  <c r="D121" i="9"/>
  <c r="E121" i="9"/>
  <c r="E4" i="9"/>
  <c r="D4" i="9"/>
  <c r="F7" i="11" l="1"/>
  <c r="F6" i="11"/>
  <c r="F9" i="11"/>
  <c r="F8" i="11"/>
  <c r="F2" i="11"/>
  <c r="F4" i="11" s="1"/>
  <c r="W20" i="11"/>
  <c r="V20" i="11"/>
  <c r="S20" i="11"/>
  <c r="R20" i="11"/>
  <c r="V19" i="11"/>
  <c r="W19" i="11"/>
  <c r="R19" i="11"/>
  <c r="S19" i="11"/>
  <c r="AD5" i="11"/>
  <c r="AD3" i="11" s="1"/>
  <c r="AD13" i="11"/>
  <c r="AD12" i="11"/>
  <c r="R8" i="11"/>
  <c r="S14" i="11"/>
  <c r="V9" i="11"/>
  <c r="V14" i="11"/>
  <c r="V18" i="11"/>
  <c r="V4" i="11"/>
  <c r="V12" i="11"/>
  <c r="S10" i="11"/>
  <c r="S4" i="11"/>
  <c r="V13" i="11"/>
  <c r="S17" i="11"/>
  <c r="V15" i="11"/>
  <c r="S12" i="11"/>
  <c r="W11" i="11"/>
  <c r="V10" i="11"/>
  <c r="R13" i="11"/>
  <c r="R6" i="11"/>
  <c r="S5" i="11"/>
  <c r="R10" i="11"/>
  <c r="S15" i="11"/>
  <c r="R11" i="11"/>
  <c r="V2" i="11"/>
  <c r="V16" i="11"/>
  <c r="V8" i="11"/>
  <c r="R7" i="11"/>
  <c r="V3" i="11"/>
  <c r="V17" i="11"/>
  <c r="S2" i="11"/>
  <c r="S3" i="11"/>
  <c r="S9" i="11"/>
  <c r="R18" i="11"/>
  <c r="V5" i="11"/>
  <c r="R16" i="11"/>
  <c r="S8" i="11"/>
  <c r="R3" i="11"/>
  <c r="V7" i="11"/>
  <c r="V6" i="11"/>
  <c r="AB3" i="11"/>
  <c r="S6" i="11"/>
  <c r="W14" i="11"/>
  <c r="W10" i="11"/>
  <c r="W7" i="11"/>
  <c r="W12" i="11"/>
  <c r="W5" i="11"/>
  <c r="W18" i="11"/>
  <c r="W16" i="11"/>
  <c r="W17" i="11"/>
  <c r="W8" i="11"/>
  <c r="W3" i="11"/>
  <c r="W13" i="11"/>
  <c r="W9" i="11"/>
  <c r="W6" i="11"/>
  <c r="V11" i="11"/>
  <c r="W15" i="11"/>
  <c r="W4" i="11"/>
  <c r="W2" i="11"/>
  <c r="R9" i="11"/>
  <c r="R12" i="11"/>
  <c r="R2" i="11"/>
  <c r="R5" i="11"/>
  <c r="S11" i="11"/>
  <c r="R4" i="11"/>
  <c r="S7" i="11"/>
  <c r="S18" i="11"/>
  <c r="S13" i="11"/>
  <c r="S16" i="11"/>
  <c r="R14" i="11"/>
  <c r="R17" i="11"/>
  <c r="R15" i="11"/>
  <c r="AG3" i="11" l="1"/>
  <c r="F3" i="11"/>
  <c r="AD2" i="11"/>
</calcChain>
</file>

<file path=xl/sharedStrings.xml><?xml version="1.0" encoding="utf-8"?>
<sst xmlns="http://schemas.openxmlformats.org/spreadsheetml/2006/main" count="144" uniqueCount="97">
  <si>
    <t>Rank</t>
  </si>
  <si>
    <t>Success?</t>
  </si>
  <si>
    <t>Time</t>
  </si>
  <si>
    <t>Multiplier</t>
  </si>
  <si>
    <t>Coeff</t>
  </si>
  <si>
    <t>Plot Time</t>
  </si>
  <si>
    <t>Product</t>
  </si>
  <si>
    <t>Exponential</t>
  </si>
  <si>
    <t>Weibull</t>
  </si>
  <si>
    <t>ln(Time)</t>
  </si>
  <si>
    <t>Lognormal</t>
  </si>
  <si>
    <t>Normal</t>
  </si>
  <si>
    <t>UOSM</t>
  </si>
  <si>
    <t xml:space="preserve">NIST </t>
  </si>
  <si>
    <t>N</t>
  </si>
  <si>
    <t>R</t>
  </si>
  <si>
    <t>R²</t>
  </si>
  <si>
    <t xml:space="preserve">Source: </t>
  </si>
  <si>
    <t>http://www.itl.nist.gov/div898/handbook/eda/section3/eda3676.htm</t>
  </si>
  <si>
    <t>Kaplan-Meier F(t)</t>
  </si>
  <si>
    <t>Norm-Inv (K-M)</t>
  </si>
  <si>
    <t>Kaplan-Meier ln(1/(1-F))</t>
  </si>
  <si>
    <t>Kaplan-Meier R(t)</t>
  </si>
  <si>
    <t>Kaplan-Meier ln(R(t))</t>
  </si>
  <si>
    <t>ln(R(t))</t>
  </si>
  <si>
    <t>Regression Parameters</t>
  </si>
  <si>
    <t>SYX</t>
  </si>
  <si>
    <t>Avg x</t>
  </si>
  <si>
    <t>SSX</t>
  </si>
  <si>
    <r>
      <t>t(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, df)</t>
    </r>
  </si>
  <si>
    <t>b</t>
  </si>
  <si>
    <t>n</t>
  </si>
  <si>
    <t>XAVG</t>
  </si>
  <si>
    <t>t</t>
  </si>
  <si>
    <t>l</t>
  </si>
  <si>
    <t>Minus Lambda</t>
  </si>
  <si>
    <t>UpperPI</t>
  </si>
  <si>
    <t>LowerPI</t>
  </si>
  <si>
    <t>Prediction CI</t>
  </si>
  <si>
    <t>Mean CI</t>
  </si>
  <si>
    <t>Upper CI</t>
  </si>
  <si>
    <t>Lower CI</t>
  </si>
  <si>
    <t>t0</t>
  </si>
  <si>
    <t>Intercept y</t>
  </si>
  <si>
    <t>Intercept x</t>
  </si>
  <si>
    <t>Lower</t>
  </si>
  <si>
    <r>
      <t xml:space="preserve">ln </t>
    </r>
    <r>
      <rPr>
        <sz val="11"/>
        <color theme="1"/>
        <rFont val="Symbol"/>
        <family val="1"/>
        <charset val="2"/>
      </rPr>
      <t>l</t>
    </r>
  </si>
  <si>
    <r>
      <t xml:space="preserve">SD(ln 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)</t>
    </r>
  </si>
  <si>
    <r>
      <t xml:space="preserve">5% CI(ln 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)</t>
    </r>
  </si>
  <si>
    <t xml:space="preserve">Upper </t>
  </si>
  <si>
    <t>t0 correction</t>
  </si>
  <si>
    <r>
      <t xml:space="preserve">MLE </t>
    </r>
    <r>
      <rPr>
        <b/>
        <sz val="11"/>
        <color theme="1"/>
        <rFont val="Symbol"/>
        <family val="1"/>
        <charset val="2"/>
      </rPr>
      <t>l</t>
    </r>
  </si>
  <si>
    <t>t0=0</t>
  </si>
  <si>
    <t>Plot</t>
  </si>
  <si>
    <t>Min Time</t>
  </si>
  <si>
    <t>upper</t>
  </si>
  <si>
    <t>lower</t>
  </si>
  <si>
    <t xml:space="preserve"> -l</t>
  </si>
  <si>
    <t>Results Summary</t>
  </si>
  <si>
    <r>
      <t>t</t>
    </r>
    <r>
      <rPr>
        <b/>
        <sz val="8"/>
        <color theme="1"/>
        <rFont val="Calibri"/>
        <family val="2"/>
        <scheme val="minor"/>
      </rPr>
      <t>0</t>
    </r>
  </si>
  <si>
    <r>
      <t>t</t>
    </r>
    <r>
      <rPr>
        <b/>
        <sz val="8"/>
        <color theme="1"/>
        <rFont val="Calibri"/>
        <family val="2"/>
        <scheme val="minor"/>
      </rPr>
      <t>50</t>
    </r>
  </si>
  <si>
    <t xml:space="preserve">R50% </t>
  </si>
  <si>
    <t>R5%</t>
  </si>
  <si>
    <t>R95%</t>
  </si>
  <si>
    <t>90% CI assuming normal dist.</t>
  </si>
  <si>
    <t>Summary</t>
  </si>
  <si>
    <t>t50</t>
  </si>
  <si>
    <t>ln(time)</t>
  </si>
  <si>
    <t>Geomean</t>
  </si>
  <si>
    <t>PI</t>
  </si>
  <si>
    <t>Upper</t>
  </si>
  <si>
    <t>t50Upper</t>
  </si>
  <si>
    <t>t50Lower</t>
  </si>
  <si>
    <t>SD from plot</t>
  </si>
  <si>
    <t>90% Conf Intervals</t>
  </si>
  <si>
    <t>GM Upper</t>
  </si>
  <si>
    <t>GM Lower</t>
  </si>
  <si>
    <t>t0Lower</t>
  </si>
  <si>
    <t>t0Upper</t>
  </si>
  <si>
    <r>
      <t>90% Confidence Interval</t>
    </r>
    <r>
      <rPr>
        <b/>
        <sz val="11"/>
        <color theme="1"/>
        <rFont val="Symbol"/>
        <family val="1"/>
        <charset val="2"/>
      </rPr>
      <t xml:space="preserve"> l</t>
    </r>
  </si>
  <si>
    <t>Kaplan-Meier ln (ln(1/(1-F)))</t>
  </si>
  <si>
    <t>Offset Time</t>
  </si>
  <si>
    <t>Pareto</t>
  </si>
  <si>
    <t>Slope (=S)</t>
  </si>
  <si>
    <t>stdev(ln)</t>
  </si>
  <si>
    <t>SD ln calc</t>
  </si>
  <si>
    <t>PI.05</t>
  </si>
  <si>
    <t>Succ only</t>
  </si>
  <si>
    <t>t50CI</t>
  </si>
  <si>
    <t>Participant</t>
  </si>
  <si>
    <t>Participant ID</t>
  </si>
  <si>
    <t xml:space="preserve">Critical values of the normal probability plot of correlation coeficient for testing if data come from a (e.g. normal) distribution </t>
  </si>
  <si>
    <t>Sdev of ln:</t>
  </si>
  <si>
    <t>Calculated</t>
  </si>
  <si>
    <t>From plot</t>
  </si>
  <si>
    <r>
      <rPr>
        <b/>
        <i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= 0.01</t>
    </r>
  </si>
  <si>
    <r>
      <rPr>
        <b/>
        <i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= 0.05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</si>
</sst>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Courier New"/>
      <family val="3"/>
    </font>
    <font>
      <b/>
      <sz val="13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2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2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2" fillId="0" borderId="1" xfId="0" applyNumberFormat="1" applyFont="1" applyBorder="1"/>
    <xf numFmtId="1" fontId="2" fillId="0" borderId="2" xfId="0" applyNumberFormat="1" applyFont="1" applyBorder="1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5" fillId="0" borderId="0" xfId="0" applyFont="1"/>
    <xf numFmtId="165" fontId="0" fillId="0" borderId="0" xfId="0" applyNumberFormat="1"/>
    <xf numFmtId="0" fontId="0" fillId="0" borderId="0" xfId="0" applyFont="1"/>
    <xf numFmtId="9" fontId="2" fillId="0" borderId="0" xfId="0" applyNumberFormat="1" applyFont="1"/>
    <xf numFmtId="164" fontId="0" fillId="0" borderId="0" xfId="0" applyNumberFormat="1"/>
    <xf numFmtId="2" fontId="0" fillId="0" borderId="0" xfId="0" applyNumberFormat="1" applyFont="1"/>
    <xf numFmtId="0" fontId="0" fillId="0" borderId="5" xfId="0" applyBorder="1"/>
    <xf numFmtId="0" fontId="0" fillId="0" borderId="7" xfId="0" applyBorder="1"/>
    <xf numFmtId="0" fontId="2" fillId="0" borderId="3" xfId="0" applyFont="1" applyBorder="1"/>
    <xf numFmtId="2" fontId="2" fillId="0" borderId="4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0" fillId="0" borderId="0" xfId="0" applyNumberForma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Fill="1" applyBorder="1"/>
    <xf numFmtId="1" fontId="0" fillId="0" borderId="0" xfId="0" applyNumberFormat="1" applyBorder="1"/>
    <xf numFmtId="0" fontId="2" fillId="0" borderId="9" xfId="0" applyFont="1" applyBorder="1"/>
    <xf numFmtId="0" fontId="0" fillId="0" borderId="6" xfId="0" applyNumberFormat="1" applyBorder="1"/>
    <xf numFmtId="1" fontId="2" fillId="0" borderId="6" xfId="0" applyNumberFormat="1" applyFont="1" applyBorder="1"/>
    <xf numFmtId="164" fontId="2" fillId="0" borderId="6" xfId="0" applyNumberFormat="1" applyFont="1" applyBorder="1"/>
    <xf numFmtId="2" fontId="2" fillId="0" borderId="6" xfId="0" applyNumberFormat="1" applyFont="1" applyBorder="1"/>
    <xf numFmtId="0" fontId="2" fillId="0" borderId="6" xfId="0" applyFont="1" applyBorder="1"/>
    <xf numFmtId="0" fontId="0" fillId="0" borderId="10" xfId="0" applyBorder="1"/>
    <xf numFmtId="0" fontId="2" fillId="0" borderId="8" xfId="0" applyFont="1" applyBorder="1"/>
    <xf numFmtId="2" fontId="0" fillId="0" borderId="6" xfId="0" applyNumberFormat="1" applyBorder="1"/>
    <xf numFmtId="1" fontId="0" fillId="0" borderId="6" xfId="0" applyNumberFormat="1" applyBorder="1"/>
    <xf numFmtId="1" fontId="3" fillId="0" borderId="6" xfId="0" applyNumberFormat="1" applyFont="1" applyBorder="1"/>
    <xf numFmtId="2" fontId="2" fillId="0" borderId="3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Fill="1" applyBorder="1"/>
    <xf numFmtId="0" fontId="7" fillId="0" borderId="0" xfId="0" applyFont="1" applyBorder="1"/>
    <xf numFmtId="0" fontId="8" fillId="0" borderId="5" xfId="0" applyNumberFormat="1" applyFont="1" applyBorder="1"/>
    <xf numFmtId="2" fontId="0" fillId="0" borderId="0" xfId="0" applyNumberFormat="1" applyBorder="1"/>
    <xf numFmtId="2" fontId="2" fillId="0" borderId="9" xfId="0" applyNumberFormat="1" applyFont="1" applyBorder="1"/>
    <xf numFmtId="0" fontId="0" fillId="0" borderId="5" xfId="0" applyNumberFormat="1" applyBorder="1"/>
    <xf numFmtId="0" fontId="0" fillId="0" borderId="7" xfId="0" applyNumberFormat="1" applyFill="1" applyBorder="1"/>
    <xf numFmtId="0" fontId="0" fillId="0" borderId="5" xfId="0" applyNumberFormat="1" applyFill="1" applyBorder="1"/>
    <xf numFmtId="0" fontId="0" fillId="0" borderId="0" xfId="0" applyFont="1" applyBorder="1"/>
    <xf numFmtId="1" fontId="3" fillId="0" borderId="0" xfId="0" applyNumberFormat="1" applyFont="1" applyBorder="1"/>
    <xf numFmtId="2" fontId="3" fillId="0" borderId="0" xfId="0" applyNumberFormat="1" applyFont="1" applyBorder="1"/>
    <xf numFmtId="2" fontId="0" fillId="0" borderId="8" xfId="0" applyNumberFormat="1" applyBorder="1"/>
    <xf numFmtId="1" fontId="0" fillId="0" borderId="6" xfId="0" applyNumberFormat="1" applyFont="1" applyBorder="1"/>
    <xf numFmtId="0" fontId="2" fillId="0" borderId="5" xfId="0" applyNumberFormat="1" applyFont="1" applyFill="1" applyBorder="1"/>
    <xf numFmtId="1" fontId="2" fillId="0" borderId="4" xfId="0" applyNumberFormat="1" applyFont="1" applyBorder="1"/>
    <xf numFmtId="1" fontId="2" fillId="0" borderId="8" xfId="0" applyNumberFormat="1" applyFont="1" applyBorder="1"/>
    <xf numFmtId="2" fontId="2" fillId="0" borderId="11" xfId="0" applyNumberFormat="1" applyFont="1" applyBorder="1"/>
    <xf numFmtId="0" fontId="2" fillId="0" borderId="12" xfId="0" applyNumberFormat="1" applyFont="1" applyBorder="1"/>
    <xf numFmtId="0" fontId="0" fillId="0" borderId="12" xfId="0" applyNumberFormat="1" applyBorder="1"/>
    <xf numFmtId="0" fontId="0" fillId="0" borderId="13" xfId="0" applyNumberFormat="1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1" applyAlignment="1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Exponential Fit, K-M corrected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'Distribution Check'!$O$1</c:f>
              <c:strCache>
                <c:ptCount val="1"/>
                <c:pt idx="0">
                  <c:v>Kaplan-Meier ln(1/(1-F))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6302086550069692"/>
                  <c:y val="-3.4798775153105873E-3"/>
                </c:manualLayout>
              </c:layout>
              <c:numFmt formatCode="General" sourceLinked="0"/>
            </c:trendlineLbl>
          </c:trendline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'Distribution Check'!$N$2:$N$50</c:f>
              <c:numCache>
                <c:formatCode>0</c:formatCode>
                <c:ptCount val="49"/>
                <c:pt idx="0">
                  <c:v>92</c:v>
                </c:pt>
                <c:pt idx="1">
                  <c:v>102</c:v>
                </c:pt>
                <c:pt idx="2">
                  <c:v>108</c:v>
                </c:pt>
                <c:pt idx="3">
                  <c:v>118</c:v>
                </c:pt>
                <c:pt idx="4">
                  <c:v>133</c:v>
                </c:pt>
                <c:pt idx="5">
                  <c:v>146</c:v>
                </c:pt>
                <c:pt idx="6">
                  <c:v>156</c:v>
                </c:pt>
                <c:pt idx="7">
                  <c:v>170</c:v>
                </c:pt>
                <c:pt idx="8">
                  <c:v>172</c:v>
                </c:pt>
                <c:pt idx="9">
                  <c:v>193</c:v>
                </c:pt>
                <c:pt idx="10">
                  <c:v>196</c:v>
                </c:pt>
                <c:pt idx="11">
                  <c:v>198</c:v>
                </c:pt>
                <c:pt idx="12">
                  <c:v>254</c:v>
                </c:pt>
                <c:pt idx="13">
                  <c:v>320</c:v>
                </c:pt>
                <c:pt idx="14">
                  <c:v>396</c:v>
                </c:pt>
                <c:pt idx="15">
                  <c:v>877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'Distribution Check'!$O$2:$O$50</c:f>
              <c:numCache>
                <c:formatCode>General</c:formatCode>
                <c:ptCount val="49"/>
                <c:pt idx="0">
                  <c:v>3.6749542208741652E-2</c:v>
                </c:pt>
                <c:pt idx="1">
                  <c:v>9.170842648949909E-2</c:v>
                </c:pt>
                <c:pt idx="2">
                  <c:v>0.14986434664657325</c:v>
                </c:pt>
                <c:pt idx="3">
                  <c:v>0.21161235371502038</c:v>
                </c:pt>
                <c:pt idx="4">
                  <c:v>0.27742557228459191</c:v>
                </c:pt>
                <c:pt idx="5">
                  <c:v>0.34787723323520325</c:v>
                </c:pt>
                <c:pt idx="6">
                  <c:v>0.42367107260473696</c:v>
                </c:pt>
                <c:pt idx="7">
                  <c:v>0.50568422426557202</c:v>
                </c:pt>
                <c:pt idx="8">
                  <c:v>0.5950293246014221</c:v>
                </c:pt>
                <c:pt idx="9">
                  <c:v>0.69314718055994529</c:v>
                </c:pt>
                <c:pt idx="10">
                  <c:v>0.80195004040874451</c:v>
                </c:pt>
                <c:pt idx="11">
                  <c:v>0.9240527372096442</c:v>
                </c:pt>
                <c:pt idx="12">
                  <c:v>1.063165539672362</c:v>
                </c:pt>
                <c:pt idx="13">
                  <c:v>1.2248068912287777</c:v>
                </c:pt>
                <c:pt idx="14">
                  <c:v>1.4177105573532696</c:v>
                </c:pt>
                <c:pt idx="15">
                  <c:v>1.6569402464191039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55136"/>
        <c:axId val="49555712"/>
      </c:scatterChart>
      <c:valAx>
        <c:axId val="4955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t[s]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9555712"/>
        <c:crosses val="autoZero"/>
        <c:crossBetween val="midCat"/>
      </c:valAx>
      <c:valAx>
        <c:axId val="4955571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ln(1/R)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555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Weibull Fit, </a:t>
            </a:r>
            <a:r>
              <a:rPr lang="en-US" sz="1600" b="1" i="0" u="none" strike="noStrike" baseline="0">
                <a:effectLst/>
              </a:rPr>
              <a:t>K-M corrected</a:t>
            </a:r>
            <a:endParaRPr lang="en-US" sz="1600"/>
          </a:p>
        </c:rich>
      </c:tx>
      <c:layout>
        <c:manualLayout>
          <c:xMode val="edge"/>
          <c:yMode val="edge"/>
          <c:x val="0.13370536313687592"/>
          <c:y val="4.6296296296296328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'Distribution Check'!$W$1</c:f>
              <c:strCache>
                <c:ptCount val="1"/>
                <c:pt idx="0">
                  <c:v>Kaplan-Meier ln (ln(1/(1-F)))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2533202099737552"/>
                  <c:y val="1.8587780694079919E-3"/>
                </c:manualLayout>
              </c:layout>
              <c:numFmt formatCode="General" sourceLinked="0"/>
            </c:trendlineLbl>
          </c:trendline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'Distribution Check'!$V$2:$V$50</c:f>
              <c:numCache>
                <c:formatCode>General</c:formatCode>
                <c:ptCount val="49"/>
                <c:pt idx="0">
                  <c:v>4.5217885770490405</c:v>
                </c:pt>
                <c:pt idx="1">
                  <c:v>4.6249728132842707</c:v>
                </c:pt>
                <c:pt idx="2">
                  <c:v>4.6821312271242199</c:v>
                </c:pt>
                <c:pt idx="3">
                  <c:v>4.7706846244656651</c:v>
                </c:pt>
                <c:pt idx="4">
                  <c:v>4.8903491282217537</c:v>
                </c:pt>
                <c:pt idx="5">
                  <c:v>4.9836066217083363</c:v>
                </c:pt>
                <c:pt idx="6">
                  <c:v>5.0498560072495371</c:v>
                </c:pt>
                <c:pt idx="7">
                  <c:v>5.1357984370502621</c:v>
                </c:pt>
                <c:pt idx="8">
                  <c:v>5.1474944768134527</c:v>
                </c:pt>
                <c:pt idx="9">
                  <c:v>5.2626901889048856</c:v>
                </c:pt>
                <c:pt idx="10">
                  <c:v>5.2781146592305168</c:v>
                </c:pt>
                <c:pt idx="11">
                  <c:v>5.2882670306945352</c:v>
                </c:pt>
                <c:pt idx="12">
                  <c:v>5.5373342670185366</c:v>
                </c:pt>
                <c:pt idx="13">
                  <c:v>5.768320995793772</c:v>
                </c:pt>
                <c:pt idx="14">
                  <c:v>5.9814142112544806</c:v>
                </c:pt>
                <c:pt idx="15">
                  <c:v>6.776506992372183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'Distribution Check'!$W$2:$W$50</c:f>
              <c:numCache>
                <c:formatCode>General</c:formatCode>
                <c:ptCount val="49"/>
                <c:pt idx="0">
                  <c:v>-3.3036295103058682</c:v>
                </c:pt>
                <c:pt idx="1">
                  <c:v>-2.3891410120167773</c:v>
                </c:pt>
                <c:pt idx="2">
                  <c:v>-1.8980247497517122</c:v>
                </c:pt>
                <c:pt idx="3">
                  <c:v>-1.552999198306052</c:v>
                </c:pt>
                <c:pt idx="4">
                  <c:v>-1.282202589753294</c:v>
                </c:pt>
                <c:pt idx="5">
                  <c:v>-1.0559056395082418</c:v>
                </c:pt>
                <c:pt idx="6">
                  <c:v>-0.85879789697575593</c:v>
                </c:pt>
                <c:pt idx="7">
                  <c:v>-0.6818428672191218</c:v>
                </c:pt>
                <c:pt idx="8">
                  <c:v>-0.51914458960656829</c:v>
                </c:pt>
                <c:pt idx="9">
                  <c:v>-0.36651292058166435</c:v>
                </c:pt>
                <c:pt idx="10">
                  <c:v>-0.22070896681064173</c:v>
                </c:pt>
                <c:pt idx="11">
                  <c:v>-7.8986134066950806E-2</c:v>
                </c:pt>
                <c:pt idx="12">
                  <c:v>6.1250815995799672E-2</c:v>
                </c:pt>
                <c:pt idx="13">
                  <c:v>0.20278319175698634</c:v>
                </c:pt>
                <c:pt idx="14">
                  <c:v>0.34904328693129177</c:v>
                </c:pt>
                <c:pt idx="15">
                  <c:v>0.50497267649009991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56864"/>
        <c:axId val="49557440"/>
      </c:scatterChart>
      <c:valAx>
        <c:axId val="4955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ln(t[s]-Offset)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557440"/>
        <c:crosses val="autoZero"/>
        <c:crossBetween val="midCat"/>
      </c:valAx>
      <c:valAx>
        <c:axId val="49557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ln(ln(1/R))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556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>
                <a:effectLst/>
              </a:rPr>
              <a:t>Lognormal Fit, </a:t>
            </a:r>
            <a:r>
              <a:rPr lang="en-US" sz="1600" b="1" i="0" u="none" strike="noStrike" baseline="0">
                <a:effectLst/>
              </a:rPr>
              <a:t>K-M corrected</a:t>
            </a:r>
            <a:endParaRPr lang="de-DE" sz="160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'Distribution Check'!$AB$1</c:f>
              <c:strCache>
                <c:ptCount val="1"/>
                <c:pt idx="0">
                  <c:v>ln(Time)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4969153069020584"/>
                  <c:y val="-3.7647273257509516E-2"/>
                </c:manualLayout>
              </c:layout>
              <c:numFmt formatCode="General" sourceLinked="0"/>
            </c:trendlineLbl>
          </c:trendline>
          <c:trendline>
            <c:trendlineType val="log"/>
            <c:dispRSqr val="0"/>
            <c:dispEq val="0"/>
          </c:trendline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'Distribution Check'!$AA$2:$AA$50</c:f>
              <c:numCache>
                <c:formatCode>General</c:formatCode>
                <c:ptCount val="49"/>
                <c:pt idx="0">
                  <c:v>-1.7980761038936293</c:v>
                </c:pt>
                <c:pt idx="1">
                  <c:v>-1.3555018111021335</c:v>
                </c:pt>
                <c:pt idx="2">
                  <c:v>-1.0840322150320134</c:v>
                </c:pt>
                <c:pt idx="3">
                  <c:v>-0.87524006258981824</c:v>
                </c:pt>
                <c:pt idx="4">
                  <c:v>-0.69902551986019013</c:v>
                </c:pt>
                <c:pt idx="5">
                  <c:v>-0.54227530374150223</c:v>
                </c:pt>
                <c:pt idx="6">
                  <c:v>-0.39787592189543253</c:v>
                </c:pt>
                <c:pt idx="7">
                  <c:v>-0.26136060643458681</c:v>
                </c:pt>
                <c:pt idx="8">
                  <c:v>-0.12956927093944973</c:v>
                </c:pt>
                <c:pt idx="9">
                  <c:v>0</c:v>
                </c:pt>
                <c:pt idx="10">
                  <c:v>0.12956927093944998</c:v>
                </c:pt>
                <c:pt idx="11">
                  <c:v>0.26136060643458681</c:v>
                </c:pt>
                <c:pt idx="12">
                  <c:v>0.39787592189543292</c:v>
                </c:pt>
                <c:pt idx="13">
                  <c:v>0.54227530374150223</c:v>
                </c:pt>
                <c:pt idx="14">
                  <c:v>0.69902551986019068</c:v>
                </c:pt>
                <c:pt idx="15">
                  <c:v>0.87524006258981879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'Distribution Check'!$AB$2:$AB$50</c:f>
              <c:numCache>
                <c:formatCode>0.00</c:formatCode>
                <c:ptCount val="49"/>
                <c:pt idx="0">
                  <c:v>4.5217885770490405</c:v>
                </c:pt>
                <c:pt idx="1">
                  <c:v>4.6249728132842707</c:v>
                </c:pt>
                <c:pt idx="2">
                  <c:v>4.6821312271242199</c:v>
                </c:pt>
                <c:pt idx="3">
                  <c:v>4.7706846244656651</c:v>
                </c:pt>
                <c:pt idx="4">
                  <c:v>4.8903491282217537</c:v>
                </c:pt>
                <c:pt idx="5">
                  <c:v>4.9836066217083363</c:v>
                </c:pt>
                <c:pt idx="6">
                  <c:v>5.0498560072495371</c:v>
                </c:pt>
                <c:pt idx="7">
                  <c:v>5.1357984370502621</c:v>
                </c:pt>
                <c:pt idx="8">
                  <c:v>5.1474944768134527</c:v>
                </c:pt>
                <c:pt idx="9">
                  <c:v>5.2626901889048856</c:v>
                </c:pt>
                <c:pt idx="10">
                  <c:v>5.2781146592305168</c:v>
                </c:pt>
                <c:pt idx="11">
                  <c:v>5.2882670306945352</c:v>
                </c:pt>
                <c:pt idx="12">
                  <c:v>5.5373342670185366</c:v>
                </c:pt>
                <c:pt idx="13">
                  <c:v>5.768320995793772</c:v>
                </c:pt>
                <c:pt idx="14">
                  <c:v>5.9814142112544806</c:v>
                </c:pt>
                <c:pt idx="15">
                  <c:v>6.776506992372183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59168"/>
        <c:axId val="49559744"/>
      </c:scatterChart>
      <c:valAx>
        <c:axId val="4955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z(F)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559744"/>
        <c:crosses val="autoZero"/>
        <c:crossBetween val="midCat"/>
      </c:valAx>
      <c:valAx>
        <c:axId val="49559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ln(t[s]-Offset)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9559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Normal Fit, </a:t>
            </a:r>
            <a:r>
              <a:rPr lang="en-US" sz="1600" b="1" i="0" u="none" strike="noStrike" baseline="0">
                <a:effectLst/>
              </a:rPr>
              <a:t>K-M corrected</a:t>
            </a:r>
            <a:endParaRPr lang="de-DE" sz="160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'Distribution Check'!$AG$1</c:f>
              <c:strCache>
                <c:ptCount val="1"/>
                <c:pt idx="0">
                  <c:v>Time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2976894177226643"/>
                  <c:y val="-0.10176108194808994"/>
                </c:manualLayout>
              </c:layout>
              <c:numFmt formatCode="General" sourceLinked="0"/>
            </c:trendlineLbl>
          </c:trendline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'Distribution Check'!$AF$2:$AF$50</c:f>
              <c:numCache>
                <c:formatCode>General</c:formatCode>
                <c:ptCount val="49"/>
                <c:pt idx="0">
                  <c:v>-1.7980761038936293</c:v>
                </c:pt>
                <c:pt idx="1">
                  <c:v>-1.3555018111021335</c:v>
                </c:pt>
                <c:pt idx="2">
                  <c:v>-1.0840322150320134</c:v>
                </c:pt>
                <c:pt idx="3">
                  <c:v>-0.87524006258981824</c:v>
                </c:pt>
                <c:pt idx="4">
                  <c:v>-0.69902551986019013</c:v>
                </c:pt>
                <c:pt idx="5">
                  <c:v>-0.54227530374150223</c:v>
                </c:pt>
                <c:pt idx="6">
                  <c:v>-0.39787592189543253</c:v>
                </c:pt>
                <c:pt idx="7">
                  <c:v>-0.26136060643458681</c:v>
                </c:pt>
                <c:pt idx="8">
                  <c:v>-0.12956927093944973</c:v>
                </c:pt>
                <c:pt idx="9">
                  <c:v>0</c:v>
                </c:pt>
                <c:pt idx="10">
                  <c:v>0.12956927093944998</c:v>
                </c:pt>
                <c:pt idx="11">
                  <c:v>0.26136060643458681</c:v>
                </c:pt>
                <c:pt idx="12">
                  <c:v>0.39787592189543292</c:v>
                </c:pt>
                <c:pt idx="13">
                  <c:v>0.54227530374150223</c:v>
                </c:pt>
                <c:pt idx="14">
                  <c:v>0.69902551986019068</c:v>
                </c:pt>
                <c:pt idx="15">
                  <c:v>0.87524006258981879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'Distribution Check'!$AG$2:$AG$50</c:f>
              <c:numCache>
                <c:formatCode>General</c:formatCode>
                <c:ptCount val="49"/>
                <c:pt idx="0">
                  <c:v>92</c:v>
                </c:pt>
                <c:pt idx="1">
                  <c:v>102</c:v>
                </c:pt>
                <c:pt idx="2">
                  <c:v>108</c:v>
                </c:pt>
                <c:pt idx="3">
                  <c:v>118</c:v>
                </c:pt>
                <c:pt idx="4">
                  <c:v>133</c:v>
                </c:pt>
                <c:pt idx="5">
                  <c:v>146</c:v>
                </c:pt>
                <c:pt idx="6">
                  <c:v>156</c:v>
                </c:pt>
                <c:pt idx="7">
                  <c:v>170</c:v>
                </c:pt>
                <c:pt idx="8">
                  <c:v>172</c:v>
                </c:pt>
                <c:pt idx="9">
                  <c:v>193</c:v>
                </c:pt>
                <c:pt idx="10">
                  <c:v>196</c:v>
                </c:pt>
                <c:pt idx="11">
                  <c:v>198</c:v>
                </c:pt>
                <c:pt idx="12">
                  <c:v>254</c:v>
                </c:pt>
                <c:pt idx="13">
                  <c:v>320</c:v>
                </c:pt>
                <c:pt idx="14">
                  <c:v>396</c:v>
                </c:pt>
                <c:pt idx="15">
                  <c:v>877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00896"/>
        <c:axId val="98001472"/>
      </c:scatterChart>
      <c:valAx>
        <c:axId val="9800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z(F)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001472"/>
        <c:crosses val="autoZero"/>
        <c:crossBetween val="midCat"/>
      </c:valAx>
      <c:valAx>
        <c:axId val="98001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t[s]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000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 Fit, K-M corrected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Exponential!$P$1</c:f>
              <c:strCache>
                <c:ptCount val="1"/>
                <c:pt idx="0">
                  <c:v>Kaplan-Meier ln(R(t))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6026971517866927"/>
                  <c:y val="-0.160374355289980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Exponential!$O$2:$O$50</c:f>
              <c:numCache>
                <c:formatCode>0</c:formatCode>
                <c:ptCount val="49"/>
                <c:pt idx="0">
                  <c:v>42</c:v>
                </c:pt>
                <c:pt idx="1">
                  <c:v>72</c:v>
                </c:pt>
                <c:pt idx="2">
                  <c:v>81</c:v>
                </c:pt>
                <c:pt idx="3">
                  <c:v>86</c:v>
                </c:pt>
                <c:pt idx="4">
                  <c:v>88.000000000000014</c:v>
                </c:pt>
                <c:pt idx="5">
                  <c:v>#N/A</c:v>
                </c:pt>
                <c:pt idx="6">
                  <c:v>99</c:v>
                </c:pt>
                <c:pt idx="7">
                  <c:v>101</c:v>
                </c:pt>
                <c:pt idx="8">
                  <c:v>131</c:v>
                </c:pt>
                <c:pt idx="9">
                  <c:v>132</c:v>
                </c:pt>
                <c:pt idx="10">
                  <c:v>#N/A</c:v>
                </c:pt>
                <c:pt idx="11">
                  <c:v>143</c:v>
                </c:pt>
                <c:pt idx="12">
                  <c:v>#N/A</c:v>
                </c:pt>
                <c:pt idx="13">
                  <c:v>198</c:v>
                </c:pt>
                <c:pt idx="14">
                  <c:v>272</c:v>
                </c:pt>
                <c:pt idx="15">
                  <c:v>289</c:v>
                </c:pt>
                <c:pt idx="16">
                  <c:v>309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Exponential!$P$2:$P$50</c:f>
              <c:numCache>
                <c:formatCode>General</c:formatCode>
                <c:ptCount val="49"/>
                <c:pt idx="0">
                  <c:v>-3.8786025035156539E-2</c:v>
                </c:pt>
                <c:pt idx="1">
                  <c:v>-9.6941945192230469E-2</c:v>
                </c:pt>
                <c:pt idx="2">
                  <c:v>-0.15868995226067756</c:v>
                </c:pt>
                <c:pt idx="3">
                  <c:v>-0.22450317083024932</c:v>
                </c:pt>
                <c:pt idx="4">
                  <c:v>-0.29495483178086074</c:v>
                </c:pt>
                <c:pt idx="5">
                  <c:v>#N/A</c:v>
                </c:pt>
                <c:pt idx="6">
                  <c:v>-0.37696798344169591</c:v>
                </c:pt>
                <c:pt idx="7">
                  <c:v>-0.46631308377754582</c:v>
                </c:pt>
                <c:pt idx="8">
                  <c:v>-0.56443093973606917</c:v>
                </c:pt>
                <c:pt idx="9">
                  <c:v>-0.67323379958486829</c:v>
                </c:pt>
                <c:pt idx="10">
                  <c:v>#N/A</c:v>
                </c:pt>
                <c:pt idx="11">
                  <c:v>-0.81234660204758602</c:v>
                </c:pt>
                <c:pt idx="12">
                  <c:v>#N/A</c:v>
                </c:pt>
                <c:pt idx="13">
                  <c:v>-1.0052502681720776</c:v>
                </c:pt>
                <c:pt idx="14">
                  <c:v>-1.2444799572379117</c:v>
                </c:pt>
                <c:pt idx="15">
                  <c:v>-1.5595610038778072</c:v>
                </c:pt>
                <c:pt idx="16">
                  <c:v>-2.0221845258259203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Exponential!$Q$1</c:f>
              <c:strCache>
                <c:ptCount val="1"/>
                <c:pt idx="0">
                  <c:v>R50% </c:v>
                </c:pt>
              </c:strCache>
            </c:strRef>
          </c:tx>
          <c:spPr>
            <a:ln w="3175">
              <a:solidFill>
                <a:schemeClr val="tx1"/>
              </a:solidFill>
              <a:prstDash val="lgDashDotDot"/>
            </a:ln>
          </c:spPr>
          <c:marker>
            <c:symbol val="none"/>
          </c:marker>
          <c:xVal>
            <c:numRef>
              <c:f>Exponential!$O$2:$O$50</c:f>
              <c:numCache>
                <c:formatCode>0</c:formatCode>
                <c:ptCount val="49"/>
                <c:pt idx="0">
                  <c:v>42</c:v>
                </c:pt>
                <c:pt idx="1">
                  <c:v>72</c:v>
                </c:pt>
                <c:pt idx="2">
                  <c:v>81</c:v>
                </c:pt>
                <c:pt idx="3">
                  <c:v>86</c:v>
                </c:pt>
                <c:pt idx="4">
                  <c:v>88.000000000000014</c:v>
                </c:pt>
                <c:pt idx="5">
                  <c:v>#N/A</c:v>
                </c:pt>
                <c:pt idx="6">
                  <c:v>99</c:v>
                </c:pt>
                <c:pt idx="7">
                  <c:v>101</c:v>
                </c:pt>
                <c:pt idx="8">
                  <c:v>131</c:v>
                </c:pt>
                <c:pt idx="9">
                  <c:v>132</c:v>
                </c:pt>
                <c:pt idx="10">
                  <c:v>#N/A</c:v>
                </c:pt>
                <c:pt idx="11">
                  <c:v>143</c:v>
                </c:pt>
                <c:pt idx="12">
                  <c:v>#N/A</c:v>
                </c:pt>
                <c:pt idx="13">
                  <c:v>198</c:v>
                </c:pt>
                <c:pt idx="14">
                  <c:v>272</c:v>
                </c:pt>
                <c:pt idx="15">
                  <c:v>289</c:v>
                </c:pt>
                <c:pt idx="16">
                  <c:v>309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Exponential!$Q$2:$Q$50</c:f>
              <c:numCache>
                <c:formatCode>General</c:formatCode>
                <c:ptCount val="49"/>
                <c:pt idx="0">
                  <c:v>-0.69314718055994529</c:v>
                </c:pt>
                <c:pt idx="1">
                  <c:v>-0.69314718055994529</c:v>
                </c:pt>
                <c:pt idx="2">
                  <c:v>-0.69314718055994529</c:v>
                </c:pt>
                <c:pt idx="3">
                  <c:v>-0.69314718055994529</c:v>
                </c:pt>
                <c:pt idx="4">
                  <c:v>-0.69314718055994529</c:v>
                </c:pt>
                <c:pt idx="5">
                  <c:v>-0.69314718055994529</c:v>
                </c:pt>
                <c:pt idx="6">
                  <c:v>-0.69314718055994529</c:v>
                </c:pt>
                <c:pt idx="7">
                  <c:v>-0.69314718055994529</c:v>
                </c:pt>
                <c:pt idx="8">
                  <c:v>-0.69314718055994529</c:v>
                </c:pt>
                <c:pt idx="9">
                  <c:v>-0.69314718055994529</c:v>
                </c:pt>
                <c:pt idx="10">
                  <c:v>-0.69314718055994529</c:v>
                </c:pt>
                <c:pt idx="11">
                  <c:v>-0.69314718055994529</c:v>
                </c:pt>
                <c:pt idx="12">
                  <c:v>-0.69314718055994529</c:v>
                </c:pt>
                <c:pt idx="13">
                  <c:v>-0.69314718055994529</c:v>
                </c:pt>
                <c:pt idx="14">
                  <c:v>-0.69314718055994529</c:v>
                </c:pt>
                <c:pt idx="15">
                  <c:v>-0.69314718055994529</c:v>
                </c:pt>
                <c:pt idx="16">
                  <c:v>-0.69314718055994529</c:v>
                </c:pt>
                <c:pt idx="17">
                  <c:v>-0.69314718055994529</c:v>
                </c:pt>
                <c:pt idx="18">
                  <c:v>-0.69314718055994529</c:v>
                </c:pt>
                <c:pt idx="19">
                  <c:v>-0.69314718055994529</c:v>
                </c:pt>
                <c:pt idx="20">
                  <c:v>-0.69314718055994529</c:v>
                </c:pt>
                <c:pt idx="21">
                  <c:v>-0.69314718055994529</c:v>
                </c:pt>
                <c:pt idx="22">
                  <c:v>-0.69314718055994529</c:v>
                </c:pt>
                <c:pt idx="23">
                  <c:v>-0.69314718055994529</c:v>
                </c:pt>
                <c:pt idx="24">
                  <c:v>-0.69314718055994529</c:v>
                </c:pt>
                <c:pt idx="25">
                  <c:v>-0.69314718055994529</c:v>
                </c:pt>
                <c:pt idx="26">
                  <c:v>-0.69314718055994529</c:v>
                </c:pt>
                <c:pt idx="27">
                  <c:v>-0.69314718055994529</c:v>
                </c:pt>
                <c:pt idx="28">
                  <c:v>-0.69314718055994529</c:v>
                </c:pt>
                <c:pt idx="29">
                  <c:v>-0.69314718055994529</c:v>
                </c:pt>
                <c:pt idx="30">
                  <c:v>-0.69314718055994529</c:v>
                </c:pt>
                <c:pt idx="31">
                  <c:v>-0.69314718055994529</c:v>
                </c:pt>
                <c:pt idx="32">
                  <c:v>-0.69314718055994529</c:v>
                </c:pt>
                <c:pt idx="33">
                  <c:v>-0.69314718055994529</c:v>
                </c:pt>
                <c:pt idx="34">
                  <c:v>-0.69314718055994529</c:v>
                </c:pt>
                <c:pt idx="35">
                  <c:v>-0.69314718055994529</c:v>
                </c:pt>
                <c:pt idx="36">
                  <c:v>-0.69314718055994529</c:v>
                </c:pt>
                <c:pt idx="37">
                  <c:v>-0.69314718055994529</c:v>
                </c:pt>
                <c:pt idx="38">
                  <c:v>-0.69314718055994529</c:v>
                </c:pt>
                <c:pt idx="39">
                  <c:v>-0.69314718055994529</c:v>
                </c:pt>
                <c:pt idx="40">
                  <c:v>-0.69314718055994529</c:v>
                </c:pt>
                <c:pt idx="41">
                  <c:v>-0.69314718055994529</c:v>
                </c:pt>
                <c:pt idx="42">
                  <c:v>-0.69314718055994529</c:v>
                </c:pt>
                <c:pt idx="43">
                  <c:v>-0.69314718055994529</c:v>
                </c:pt>
                <c:pt idx="44">
                  <c:v>-0.69314718055994529</c:v>
                </c:pt>
                <c:pt idx="45">
                  <c:v>-0.69314718055994529</c:v>
                </c:pt>
                <c:pt idx="46">
                  <c:v>-0.69314718055994529</c:v>
                </c:pt>
                <c:pt idx="47">
                  <c:v>-0.69314718055994529</c:v>
                </c:pt>
                <c:pt idx="48">
                  <c:v>-0.69314718055994529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Exponential!$R$1</c:f>
              <c:strCache>
                <c:ptCount val="1"/>
                <c:pt idx="0">
                  <c:v>UpperPI</c:v>
                </c:pt>
              </c:strCache>
            </c:strRef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Exponential!$O$2:$O$50</c:f>
              <c:numCache>
                <c:formatCode>0</c:formatCode>
                <c:ptCount val="49"/>
                <c:pt idx="0">
                  <c:v>42</c:v>
                </c:pt>
                <c:pt idx="1">
                  <c:v>72</c:v>
                </c:pt>
                <c:pt idx="2">
                  <c:v>81</c:v>
                </c:pt>
                <c:pt idx="3">
                  <c:v>86</c:v>
                </c:pt>
                <c:pt idx="4">
                  <c:v>88.000000000000014</c:v>
                </c:pt>
                <c:pt idx="5">
                  <c:v>#N/A</c:v>
                </c:pt>
                <c:pt idx="6">
                  <c:v>99</c:v>
                </c:pt>
                <c:pt idx="7">
                  <c:v>101</c:v>
                </c:pt>
                <c:pt idx="8">
                  <c:v>131</c:v>
                </c:pt>
                <c:pt idx="9">
                  <c:v>132</c:v>
                </c:pt>
                <c:pt idx="10">
                  <c:v>#N/A</c:v>
                </c:pt>
                <c:pt idx="11">
                  <c:v>143</c:v>
                </c:pt>
                <c:pt idx="12">
                  <c:v>#N/A</c:v>
                </c:pt>
                <c:pt idx="13">
                  <c:v>198</c:v>
                </c:pt>
                <c:pt idx="14">
                  <c:v>272</c:v>
                </c:pt>
                <c:pt idx="15">
                  <c:v>289</c:v>
                </c:pt>
                <c:pt idx="16">
                  <c:v>309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Exponential!$R$2:$R$50</c:f>
              <c:numCache>
                <c:formatCode>General</c:formatCode>
                <c:ptCount val="49"/>
                <c:pt idx="0">
                  <c:v>0.20992502169687582</c:v>
                </c:pt>
                <c:pt idx="1">
                  <c:v>5.3900629240307141E-3</c:v>
                </c:pt>
                <c:pt idx="2">
                  <c:v>-5.5681033144352382E-2</c:v>
                </c:pt>
                <c:pt idx="3">
                  <c:v>-8.9549952051098558E-2</c:v>
                </c:pt>
                <c:pt idx="4">
                  <c:v>-0.10308551347070519</c:v>
                </c:pt>
                <c:pt idx="5">
                  <c:v>#N/A</c:v>
                </c:pt>
                <c:pt idx="6">
                  <c:v>-0.17740728743241876</c:v>
                </c:pt>
                <c:pt idx="7">
                  <c:v>-0.19089766036826269</c:v>
                </c:pt>
                <c:pt idx="8">
                  <c:v>-0.39240191172813177</c:v>
                </c:pt>
                <c:pt idx="9">
                  <c:v>-0.39909096905522257</c:v>
                </c:pt>
                <c:pt idx="10">
                  <c:v>#N/A</c:v>
                </c:pt>
                <c:pt idx="11">
                  <c:v>-0.47255152781032439</c:v>
                </c:pt>
                <c:pt idx="12">
                  <c:v>#N/A</c:v>
                </c:pt>
                <c:pt idx="13">
                  <c:v>-0.83659029560290865</c:v>
                </c:pt>
                <c:pt idx="14">
                  <c:v>-1.3182324941113621</c:v>
                </c:pt>
                <c:pt idx="15">
                  <c:v>-1.4276871144431602</c:v>
                </c:pt>
                <c:pt idx="16">
                  <c:v>-1.5559474972999126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Exponential!$S$1</c:f>
              <c:strCache>
                <c:ptCount val="1"/>
                <c:pt idx="0">
                  <c:v>LowerPI</c:v>
                </c:pt>
              </c:strCache>
            </c:strRef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Exponential!$O$2:$O$50</c:f>
              <c:numCache>
                <c:formatCode>0</c:formatCode>
                <c:ptCount val="49"/>
                <c:pt idx="0">
                  <c:v>42</c:v>
                </c:pt>
                <c:pt idx="1">
                  <c:v>72</c:v>
                </c:pt>
                <c:pt idx="2">
                  <c:v>81</c:v>
                </c:pt>
                <c:pt idx="3">
                  <c:v>86</c:v>
                </c:pt>
                <c:pt idx="4">
                  <c:v>88.000000000000014</c:v>
                </c:pt>
                <c:pt idx="5">
                  <c:v>#N/A</c:v>
                </c:pt>
                <c:pt idx="6">
                  <c:v>99</c:v>
                </c:pt>
                <c:pt idx="7">
                  <c:v>101</c:v>
                </c:pt>
                <c:pt idx="8">
                  <c:v>131</c:v>
                </c:pt>
                <c:pt idx="9">
                  <c:v>132</c:v>
                </c:pt>
                <c:pt idx="10">
                  <c:v>#N/A</c:v>
                </c:pt>
                <c:pt idx="11">
                  <c:v>143</c:v>
                </c:pt>
                <c:pt idx="12">
                  <c:v>#N/A</c:v>
                </c:pt>
                <c:pt idx="13">
                  <c:v>198</c:v>
                </c:pt>
                <c:pt idx="14">
                  <c:v>272</c:v>
                </c:pt>
                <c:pt idx="15">
                  <c:v>289</c:v>
                </c:pt>
                <c:pt idx="16">
                  <c:v>309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Exponential!$S$2:$S$50</c:f>
              <c:numCache>
                <c:formatCode>General</c:formatCode>
                <c:ptCount val="49"/>
                <c:pt idx="0">
                  <c:v>-0.1876347050859502</c:v>
                </c:pt>
                <c:pt idx="1">
                  <c:v>-0.38288021250185295</c:v>
                </c:pt>
                <c:pt idx="2">
                  <c:v>-0.44174325629009437</c:v>
                </c:pt>
                <c:pt idx="3">
                  <c:v>-0.47450441508147273</c:v>
                </c:pt>
                <c:pt idx="4">
                  <c:v>-0.48762088474111631</c:v>
                </c:pt>
                <c:pt idx="5">
                  <c:v>#N/A</c:v>
                </c:pt>
                <c:pt idx="6">
                  <c:v>-0.55988528171527674</c:v>
                </c:pt>
                <c:pt idx="7">
                  <c:v>-0.57304693985868249</c:v>
                </c:pt>
                <c:pt idx="8">
                  <c:v>-0.77132315468756152</c:v>
                </c:pt>
                <c:pt idx="9">
                  <c:v>-0.77796011290009559</c:v>
                </c:pt>
                <c:pt idx="10">
                  <c:v>#N/A</c:v>
                </c:pt>
                <c:pt idx="11">
                  <c:v>-0.85108572508086799</c:v>
                </c:pt>
                <c:pt idx="12">
                  <c:v>#N/A</c:v>
                </c:pt>
                <c:pt idx="13">
                  <c:v>-1.219977811967655</c:v>
                </c:pt>
                <c:pt idx="14">
                  <c:v>-1.7244607633914462</c:v>
                </c:pt>
                <c:pt idx="15">
                  <c:v>-1.8415484072332726</c:v>
                </c:pt>
                <c:pt idx="16">
                  <c:v>-1.9798083351690186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Exponential!$T$1</c:f>
              <c:strCache>
                <c:ptCount val="1"/>
                <c:pt idx="0">
                  <c:v>R5%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Exponential!$O$2:$O$50</c:f>
              <c:numCache>
                <c:formatCode>0</c:formatCode>
                <c:ptCount val="49"/>
                <c:pt idx="0">
                  <c:v>42</c:v>
                </c:pt>
                <c:pt idx="1">
                  <c:v>72</c:v>
                </c:pt>
                <c:pt idx="2">
                  <c:v>81</c:v>
                </c:pt>
                <c:pt idx="3">
                  <c:v>86</c:v>
                </c:pt>
                <c:pt idx="4">
                  <c:v>88.000000000000014</c:v>
                </c:pt>
                <c:pt idx="5">
                  <c:v>#N/A</c:v>
                </c:pt>
                <c:pt idx="6">
                  <c:v>99</c:v>
                </c:pt>
                <c:pt idx="7">
                  <c:v>101</c:v>
                </c:pt>
                <c:pt idx="8">
                  <c:v>131</c:v>
                </c:pt>
                <c:pt idx="9">
                  <c:v>132</c:v>
                </c:pt>
                <c:pt idx="10">
                  <c:v>#N/A</c:v>
                </c:pt>
                <c:pt idx="11">
                  <c:v>143</c:v>
                </c:pt>
                <c:pt idx="12">
                  <c:v>#N/A</c:v>
                </c:pt>
                <c:pt idx="13">
                  <c:v>198</c:v>
                </c:pt>
                <c:pt idx="14">
                  <c:v>272</c:v>
                </c:pt>
                <c:pt idx="15">
                  <c:v>289</c:v>
                </c:pt>
                <c:pt idx="16">
                  <c:v>309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Exponential!$T$2:$T$50</c:f>
              <c:numCache>
                <c:formatCode>General</c:formatCode>
                <c:ptCount val="49"/>
                <c:pt idx="0">
                  <c:v>-2.9957322735539909</c:v>
                </c:pt>
                <c:pt idx="1">
                  <c:v>-2.9957322735539909</c:v>
                </c:pt>
                <c:pt idx="2">
                  <c:v>-2.9957322735539909</c:v>
                </c:pt>
                <c:pt idx="3">
                  <c:v>-2.9957322735539909</c:v>
                </c:pt>
                <c:pt idx="4">
                  <c:v>-2.9957322735539909</c:v>
                </c:pt>
                <c:pt idx="5">
                  <c:v>#N/A</c:v>
                </c:pt>
                <c:pt idx="6">
                  <c:v>-2.9957322735539909</c:v>
                </c:pt>
                <c:pt idx="7">
                  <c:v>-2.9957322735539909</c:v>
                </c:pt>
                <c:pt idx="8">
                  <c:v>-2.9957322735539909</c:v>
                </c:pt>
                <c:pt idx="9">
                  <c:v>-2.9957322735539909</c:v>
                </c:pt>
                <c:pt idx="10">
                  <c:v>#N/A</c:v>
                </c:pt>
                <c:pt idx="11">
                  <c:v>-2.9957322735539909</c:v>
                </c:pt>
                <c:pt idx="12">
                  <c:v>#N/A</c:v>
                </c:pt>
                <c:pt idx="13">
                  <c:v>-2.9957322735539909</c:v>
                </c:pt>
                <c:pt idx="14">
                  <c:v>-2.9957322735539909</c:v>
                </c:pt>
                <c:pt idx="15">
                  <c:v>-2.9957322735539909</c:v>
                </c:pt>
                <c:pt idx="16">
                  <c:v>-2.9957322735539909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Exponential!$U$1</c:f>
              <c:strCache>
                <c:ptCount val="1"/>
                <c:pt idx="0">
                  <c:v>R95%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ot"/>
            </a:ln>
          </c:spPr>
          <c:marker>
            <c:symbol val="none"/>
          </c:marker>
          <c:xVal>
            <c:numRef>
              <c:f>Exponential!$O$2:$O$50</c:f>
              <c:numCache>
                <c:formatCode>0</c:formatCode>
                <c:ptCount val="49"/>
                <c:pt idx="0">
                  <c:v>42</c:v>
                </c:pt>
                <c:pt idx="1">
                  <c:v>72</c:v>
                </c:pt>
                <c:pt idx="2">
                  <c:v>81</c:v>
                </c:pt>
                <c:pt idx="3">
                  <c:v>86</c:v>
                </c:pt>
                <c:pt idx="4">
                  <c:v>88.000000000000014</c:v>
                </c:pt>
                <c:pt idx="5">
                  <c:v>#N/A</c:v>
                </c:pt>
                <c:pt idx="6">
                  <c:v>99</c:v>
                </c:pt>
                <c:pt idx="7">
                  <c:v>101</c:v>
                </c:pt>
                <c:pt idx="8">
                  <c:v>131</c:v>
                </c:pt>
                <c:pt idx="9">
                  <c:v>132</c:v>
                </c:pt>
                <c:pt idx="10">
                  <c:v>#N/A</c:v>
                </c:pt>
                <c:pt idx="11">
                  <c:v>143</c:v>
                </c:pt>
                <c:pt idx="12">
                  <c:v>#N/A</c:v>
                </c:pt>
                <c:pt idx="13">
                  <c:v>198</c:v>
                </c:pt>
                <c:pt idx="14">
                  <c:v>272</c:v>
                </c:pt>
                <c:pt idx="15">
                  <c:v>289</c:v>
                </c:pt>
                <c:pt idx="16">
                  <c:v>309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Exponential!$U$2:$U$50</c:f>
              <c:numCache>
                <c:formatCode>General</c:formatCode>
                <c:ptCount val="49"/>
                <c:pt idx="0">
                  <c:v>-5.1293294387550578E-2</c:v>
                </c:pt>
                <c:pt idx="1">
                  <c:v>-5.1293294387550578E-2</c:v>
                </c:pt>
                <c:pt idx="2">
                  <c:v>-5.1293294387550578E-2</c:v>
                </c:pt>
                <c:pt idx="3">
                  <c:v>-5.1293294387550578E-2</c:v>
                </c:pt>
                <c:pt idx="4">
                  <c:v>-5.1293294387550578E-2</c:v>
                </c:pt>
                <c:pt idx="5">
                  <c:v>#N/A</c:v>
                </c:pt>
                <c:pt idx="6">
                  <c:v>-5.1293294387550578E-2</c:v>
                </c:pt>
                <c:pt idx="7">
                  <c:v>-5.1293294387550578E-2</c:v>
                </c:pt>
                <c:pt idx="8">
                  <c:v>-5.1293294387550578E-2</c:v>
                </c:pt>
                <c:pt idx="9">
                  <c:v>-5.1293294387550578E-2</c:v>
                </c:pt>
                <c:pt idx="10">
                  <c:v>#N/A</c:v>
                </c:pt>
                <c:pt idx="11">
                  <c:v>-5.1293294387550578E-2</c:v>
                </c:pt>
                <c:pt idx="12">
                  <c:v>#N/A</c:v>
                </c:pt>
                <c:pt idx="13">
                  <c:v>-5.1293294387550578E-2</c:v>
                </c:pt>
                <c:pt idx="14">
                  <c:v>-5.1293294387550578E-2</c:v>
                </c:pt>
                <c:pt idx="15">
                  <c:v>-5.1293294387550578E-2</c:v>
                </c:pt>
                <c:pt idx="16">
                  <c:v>-5.1293294387550578E-2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Exponential!$V$1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Exponential!$O$2:$O$50</c:f>
              <c:numCache>
                <c:formatCode>0</c:formatCode>
                <c:ptCount val="49"/>
                <c:pt idx="0">
                  <c:v>42</c:v>
                </c:pt>
                <c:pt idx="1">
                  <c:v>72</c:v>
                </c:pt>
                <c:pt idx="2">
                  <c:v>81</c:v>
                </c:pt>
                <c:pt idx="3">
                  <c:v>86</c:v>
                </c:pt>
                <c:pt idx="4">
                  <c:v>88.000000000000014</c:v>
                </c:pt>
                <c:pt idx="5">
                  <c:v>#N/A</c:v>
                </c:pt>
                <c:pt idx="6">
                  <c:v>99</c:v>
                </c:pt>
                <c:pt idx="7">
                  <c:v>101</c:v>
                </c:pt>
                <c:pt idx="8">
                  <c:v>131</c:v>
                </c:pt>
                <c:pt idx="9">
                  <c:v>132</c:v>
                </c:pt>
                <c:pt idx="10">
                  <c:v>#N/A</c:v>
                </c:pt>
                <c:pt idx="11">
                  <c:v>143</c:v>
                </c:pt>
                <c:pt idx="12">
                  <c:v>#N/A</c:v>
                </c:pt>
                <c:pt idx="13">
                  <c:v>198</c:v>
                </c:pt>
                <c:pt idx="14">
                  <c:v>272</c:v>
                </c:pt>
                <c:pt idx="15">
                  <c:v>289</c:v>
                </c:pt>
                <c:pt idx="16">
                  <c:v>309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Exponential!$V$2:$V$50</c:f>
              <c:numCache>
                <c:formatCode>General</c:formatCode>
                <c:ptCount val="49"/>
                <c:pt idx="0">
                  <c:v>8.9134086920933706E-2</c:v>
                </c:pt>
                <c:pt idx="1">
                  <c:v>-0.12349715841219393</c:v>
                </c:pt>
                <c:pt idx="2">
                  <c:v>-0.18682637145924125</c:v>
                </c:pt>
                <c:pt idx="3">
                  <c:v>-0.22189130784778355</c:v>
                </c:pt>
                <c:pt idx="4">
                  <c:v>-0.23589143125295822</c:v>
                </c:pt>
                <c:pt idx="5">
                  <c:v>#N/A</c:v>
                </c:pt>
                <c:pt idx="6">
                  <c:v>-0.31259993835627814</c:v>
                </c:pt>
                <c:pt idx="7">
                  <c:v>-0.32648935813630325</c:v>
                </c:pt>
                <c:pt idx="8">
                  <c:v>-0.53222216668865174</c:v>
                </c:pt>
                <c:pt idx="9">
                  <c:v>-0.53898468979283409</c:v>
                </c:pt>
                <c:pt idx="10">
                  <c:v>#N/A</c:v>
                </c:pt>
                <c:pt idx="11">
                  <c:v>-0.61292206703193286</c:v>
                </c:pt>
                <c:pt idx="12">
                  <c:v>#N/A</c:v>
                </c:pt>
                <c:pt idx="13">
                  <c:v>-0.97070510083576789</c:v>
                </c:pt>
                <c:pt idx="14">
                  <c:v>-1.4328921738762914</c:v>
                </c:pt>
                <c:pt idx="15">
                  <c:v>-1.5377202308688929</c:v>
                </c:pt>
                <c:pt idx="16">
                  <c:v>-1.6607175627148201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Exponential!$W$1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Exponential!$O$2:$O$50</c:f>
              <c:numCache>
                <c:formatCode>0</c:formatCode>
                <c:ptCount val="49"/>
                <c:pt idx="0">
                  <c:v>42</c:v>
                </c:pt>
                <c:pt idx="1">
                  <c:v>72</c:v>
                </c:pt>
                <c:pt idx="2">
                  <c:v>81</c:v>
                </c:pt>
                <c:pt idx="3">
                  <c:v>86</c:v>
                </c:pt>
                <c:pt idx="4">
                  <c:v>88.000000000000014</c:v>
                </c:pt>
                <c:pt idx="5">
                  <c:v>#N/A</c:v>
                </c:pt>
                <c:pt idx="6">
                  <c:v>99</c:v>
                </c:pt>
                <c:pt idx="7">
                  <c:v>101</c:v>
                </c:pt>
                <c:pt idx="8">
                  <c:v>131</c:v>
                </c:pt>
                <c:pt idx="9">
                  <c:v>132</c:v>
                </c:pt>
                <c:pt idx="10">
                  <c:v>#N/A</c:v>
                </c:pt>
                <c:pt idx="11">
                  <c:v>143</c:v>
                </c:pt>
                <c:pt idx="12">
                  <c:v>#N/A</c:v>
                </c:pt>
                <c:pt idx="13">
                  <c:v>198</c:v>
                </c:pt>
                <c:pt idx="14">
                  <c:v>272</c:v>
                </c:pt>
                <c:pt idx="15">
                  <c:v>289</c:v>
                </c:pt>
                <c:pt idx="16">
                  <c:v>309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xVal>
          <c:yVal>
            <c:numRef>
              <c:f>Exponential!$W$2:$W$50</c:f>
              <c:numCache>
                <c:formatCode>General</c:formatCode>
                <c:ptCount val="49"/>
                <c:pt idx="0">
                  <c:v>-6.6843770310008085E-2</c:v>
                </c:pt>
                <c:pt idx="1">
                  <c:v>-0.25399299116562829</c:v>
                </c:pt>
                <c:pt idx="2">
                  <c:v>-0.31059791797520547</c:v>
                </c:pt>
                <c:pt idx="3">
                  <c:v>-0.34216305928478774</c:v>
                </c:pt>
                <c:pt idx="4">
                  <c:v>-0.35481496695886328</c:v>
                </c:pt>
                <c:pt idx="5">
                  <c:v>#N/A</c:v>
                </c:pt>
                <c:pt idx="6">
                  <c:v>-0.42469263079141734</c:v>
                </c:pt>
                <c:pt idx="7">
                  <c:v>-0.43745524209064196</c:v>
                </c:pt>
                <c:pt idx="8">
                  <c:v>-0.63150289972704154</c:v>
                </c:pt>
                <c:pt idx="9">
                  <c:v>-0.63806639216248406</c:v>
                </c:pt>
                <c:pt idx="10">
                  <c:v>#N/A</c:v>
                </c:pt>
                <c:pt idx="11">
                  <c:v>-0.71071518585925952</c:v>
                </c:pt>
                <c:pt idx="12">
                  <c:v>#N/A</c:v>
                </c:pt>
                <c:pt idx="13">
                  <c:v>-1.0858630067347956</c:v>
                </c:pt>
                <c:pt idx="14">
                  <c:v>-1.6098010836265169</c:v>
                </c:pt>
                <c:pt idx="15">
                  <c:v>-1.73151529080754</c:v>
                </c:pt>
                <c:pt idx="16">
                  <c:v>-1.875038269754111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03776"/>
        <c:axId val="98004352"/>
      </c:scatterChart>
      <c:valAx>
        <c:axId val="98003776"/>
        <c:scaling>
          <c:orientation val="minMax"/>
        </c:scaling>
        <c:delete val="0"/>
        <c:axPos val="b"/>
        <c:numFmt formatCode="0" sourceLinked="1"/>
        <c:majorTickMark val="out"/>
        <c:minorTickMark val="in"/>
        <c:tickLblPos val="nextTo"/>
        <c:crossAx val="98004352"/>
        <c:crosses val="autoZero"/>
        <c:crossBetween val="midCat"/>
      </c:valAx>
      <c:valAx>
        <c:axId val="98004352"/>
        <c:scaling>
          <c:orientation val="minMax"/>
          <c:max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ln(R)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003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>
                <a:effectLst/>
              </a:rPr>
              <a:t>Lognormal Fit, K-M corrected</a:t>
            </a:r>
            <a:endParaRPr lang="de-DE" sz="160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Lognormal!$Q$1</c:f>
              <c:strCache>
                <c:ptCount val="1"/>
                <c:pt idx="0">
                  <c:v>ln(time)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7.8502187226596715E-2"/>
                  <c:y val="0.50224008457276159"/>
                </c:manualLayout>
              </c:layout>
              <c:numFmt formatCode="General" sourceLinked="0"/>
            </c:trendlineLbl>
          </c:trendline>
          <c:xVal>
            <c:numRef>
              <c:f>Lognormal!$P$2:$P$51</c:f>
              <c:numCache>
                <c:formatCode>General</c:formatCode>
                <c:ptCount val="50"/>
                <c:pt idx="0">
                  <c:v>-1.7980761038936293</c:v>
                </c:pt>
                <c:pt idx="1">
                  <c:v>-1.3555018111021335</c:v>
                </c:pt>
                <c:pt idx="2">
                  <c:v>-1.0840322150320134</c:v>
                </c:pt>
                <c:pt idx="3">
                  <c:v>#N/A</c:v>
                </c:pt>
                <c:pt idx="4">
                  <c:v>-0.86323237228718164</c:v>
                </c:pt>
                <c:pt idx="5">
                  <c:v>-0.67816209815014417</c:v>
                </c:pt>
                <c:pt idx="6">
                  <c:v>-0.51389110901812785</c:v>
                </c:pt>
                <c:pt idx="7">
                  <c:v>-0.36248808364097362</c:v>
                </c:pt>
                <c:pt idx="8">
                  <c:v>-0.21900451632612572</c:v>
                </c:pt>
                <c:pt idx="9">
                  <c:v>-7.9913902643637708E-2</c:v>
                </c:pt>
                <c:pt idx="10">
                  <c:v>5.7640404928040422E-2</c:v>
                </c:pt>
                <c:pt idx="11">
                  <c:v>0.19629936057414091</c:v>
                </c:pt>
                <c:pt idx="12">
                  <c:v>0.33885806185153799</c:v>
                </c:pt>
                <c:pt idx="13">
                  <c:v>0.48869526551286357</c:v>
                </c:pt>
                <c:pt idx="14">
                  <c:v>#N/A</c:v>
                </c:pt>
                <c:pt idx="15">
                  <c:v>0.68702574017468665</c:v>
                </c:pt>
                <c:pt idx="16">
                  <c:v>0.91712801960267054</c:v>
                </c:pt>
                <c:pt idx="17">
                  <c:v>#N/A</c:v>
                </c:pt>
                <c:pt idx="18">
                  <c:v>1.4471509802035238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0</c:v>
                </c:pt>
              </c:numCache>
            </c:numRef>
          </c:xVal>
          <c:yVal>
            <c:numRef>
              <c:f>Lognormal!$Q$2:$Q$51</c:f>
              <c:numCache>
                <c:formatCode>0.00</c:formatCode>
                <c:ptCount val="50"/>
                <c:pt idx="0">
                  <c:v>4.5217885770490405</c:v>
                </c:pt>
                <c:pt idx="1">
                  <c:v>4.6249728132842707</c:v>
                </c:pt>
                <c:pt idx="2">
                  <c:v>4.6821312271242199</c:v>
                </c:pt>
                <c:pt idx="3">
                  <c:v>#N/A</c:v>
                </c:pt>
                <c:pt idx="4">
                  <c:v>4.8903491282217537</c:v>
                </c:pt>
                <c:pt idx="5">
                  <c:v>4.9836066217083363</c:v>
                </c:pt>
                <c:pt idx="6">
                  <c:v>5.0498560072495371</c:v>
                </c:pt>
                <c:pt idx="7">
                  <c:v>5.1357984370502621</c:v>
                </c:pt>
                <c:pt idx="8">
                  <c:v>5.1474944768134527</c:v>
                </c:pt>
                <c:pt idx="9">
                  <c:v>5.2626901889048856</c:v>
                </c:pt>
                <c:pt idx="10">
                  <c:v>5.2626901889048856</c:v>
                </c:pt>
                <c:pt idx="11">
                  <c:v>5.2781146592305168</c:v>
                </c:pt>
                <c:pt idx="12">
                  <c:v>5.2882670306945352</c:v>
                </c:pt>
                <c:pt idx="13">
                  <c:v>5.5373342670185366</c:v>
                </c:pt>
                <c:pt idx="14">
                  <c:v>#N/A</c:v>
                </c:pt>
                <c:pt idx="15">
                  <c:v>5.768320995793772</c:v>
                </c:pt>
                <c:pt idx="16">
                  <c:v>5.9814142112544806</c:v>
                </c:pt>
                <c:pt idx="17">
                  <c:v>#N/A</c:v>
                </c:pt>
                <c:pt idx="18">
                  <c:v>6.776506992372183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Lognormal!$R$1</c:f>
              <c:strCache>
                <c:ptCount val="1"/>
                <c:pt idx="0">
                  <c:v>Upper</c:v>
                </c:pt>
              </c:strCache>
            </c:strRef>
          </c:tx>
          <c:spPr>
            <a:ln w="31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Lognormal!$P$2:$P$51</c:f>
              <c:numCache>
                <c:formatCode>General</c:formatCode>
                <c:ptCount val="50"/>
                <c:pt idx="0">
                  <c:v>-1.7980761038936293</c:v>
                </c:pt>
                <c:pt idx="1">
                  <c:v>-1.3555018111021335</c:v>
                </c:pt>
                <c:pt idx="2">
                  <c:v>-1.0840322150320134</c:v>
                </c:pt>
                <c:pt idx="3">
                  <c:v>#N/A</c:v>
                </c:pt>
                <c:pt idx="4">
                  <c:v>-0.86323237228718164</c:v>
                </c:pt>
                <c:pt idx="5">
                  <c:v>-0.67816209815014417</c:v>
                </c:pt>
                <c:pt idx="6">
                  <c:v>-0.51389110901812785</c:v>
                </c:pt>
                <c:pt idx="7">
                  <c:v>-0.36248808364097362</c:v>
                </c:pt>
                <c:pt idx="8">
                  <c:v>-0.21900451632612572</c:v>
                </c:pt>
                <c:pt idx="9">
                  <c:v>-7.9913902643637708E-2</c:v>
                </c:pt>
                <c:pt idx="10">
                  <c:v>5.7640404928040422E-2</c:v>
                </c:pt>
                <c:pt idx="11">
                  <c:v>0.19629936057414091</c:v>
                </c:pt>
                <c:pt idx="12">
                  <c:v>0.33885806185153799</c:v>
                </c:pt>
                <c:pt idx="13">
                  <c:v>0.48869526551286357</c:v>
                </c:pt>
                <c:pt idx="14">
                  <c:v>#N/A</c:v>
                </c:pt>
                <c:pt idx="15">
                  <c:v>0.68702574017468665</c:v>
                </c:pt>
                <c:pt idx="16">
                  <c:v>0.91712801960267054</c:v>
                </c:pt>
                <c:pt idx="17">
                  <c:v>#N/A</c:v>
                </c:pt>
                <c:pt idx="18">
                  <c:v>1.4471509802035238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0</c:v>
                </c:pt>
              </c:numCache>
            </c:numRef>
          </c:xVal>
          <c:yVal>
            <c:numRef>
              <c:f>Lognormal!$R$2:$R$51</c:f>
              <c:numCache>
                <c:formatCode>0.00</c:formatCode>
                <c:ptCount val="50"/>
                <c:pt idx="0">
                  <c:v>4.7431131138967952</c:v>
                </c:pt>
                <c:pt idx="1">
                  <c:v>4.9933360429146427</c:v>
                </c:pt>
                <c:pt idx="2">
                  <c:v>5.1497284685528895</c:v>
                </c:pt>
                <c:pt idx="3">
                  <c:v>#N/A</c:v>
                </c:pt>
                <c:pt idx="4">
                  <c:v>5.2786925071114776</c:v>
                </c:pt>
                <c:pt idx="5">
                  <c:v>5.3880601356893498</c:v>
                </c:pt>
                <c:pt idx="6">
                  <c:v>5.486136228918034</c:v>
                </c:pt>
                <c:pt idx="7">
                  <c:v>5.5773772136550699</c:v>
                </c:pt>
                <c:pt idx="8">
                  <c:v>5.6646036787690974</c:v>
                </c:pt>
                <c:pt idx="9">
                  <c:v>5.7498667380317521</c:v>
                </c:pt>
                <c:pt idx="10">
                  <c:v>5.8348720951401436</c:v>
                </c:pt>
                <c:pt idx="11">
                  <c:v>5.9212446390400952</c:v>
                </c:pt>
                <c:pt idx="12">
                  <c:v>6.0107553702320846</c:v>
                </c:pt>
                <c:pt idx="13">
                  <c:v>6.105598778073916</c:v>
                </c:pt>
                <c:pt idx="14">
                  <c:v>#N/A</c:v>
                </c:pt>
                <c:pt idx="15">
                  <c:v>6.2323106293529866</c:v>
                </c:pt>
                <c:pt idx="16">
                  <c:v>6.3809370836750441</c:v>
                </c:pt>
                <c:pt idx="17">
                  <c:v>#N/A</c:v>
                </c:pt>
                <c:pt idx="18">
                  <c:v>6.7294015977323154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Lognormal!$S$1</c:f>
              <c:strCache>
                <c:ptCount val="1"/>
                <c:pt idx="0">
                  <c:v>Lower</c:v>
                </c:pt>
              </c:strCache>
            </c:strRef>
          </c:tx>
          <c:spPr>
            <a:ln w="31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Lognormal!$P$2:$P$51</c:f>
              <c:numCache>
                <c:formatCode>General</c:formatCode>
                <c:ptCount val="50"/>
                <c:pt idx="0">
                  <c:v>-1.7980761038936293</c:v>
                </c:pt>
                <c:pt idx="1">
                  <c:v>-1.3555018111021335</c:v>
                </c:pt>
                <c:pt idx="2">
                  <c:v>-1.0840322150320134</c:v>
                </c:pt>
                <c:pt idx="3">
                  <c:v>#N/A</c:v>
                </c:pt>
                <c:pt idx="4">
                  <c:v>-0.86323237228718164</c:v>
                </c:pt>
                <c:pt idx="5">
                  <c:v>-0.67816209815014417</c:v>
                </c:pt>
                <c:pt idx="6">
                  <c:v>-0.51389110901812785</c:v>
                </c:pt>
                <c:pt idx="7">
                  <c:v>-0.36248808364097362</c:v>
                </c:pt>
                <c:pt idx="8">
                  <c:v>-0.21900451632612572</c:v>
                </c:pt>
                <c:pt idx="9">
                  <c:v>-7.9913902643637708E-2</c:v>
                </c:pt>
                <c:pt idx="10">
                  <c:v>5.7640404928040422E-2</c:v>
                </c:pt>
                <c:pt idx="11">
                  <c:v>0.19629936057414091</c:v>
                </c:pt>
                <c:pt idx="12">
                  <c:v>0.33885806185153799</c:v>
                </c:pt>
                <c:pt idx="13">
                  <c:v>0.48869526551286357</c:v>
                </c:pt>
                <c:pt idx="14">
                  <c:v>#N/A</c:v>
                </c:pt>
                <c:pt idx="15">
                  <c:v>0.68702574017468665</c:v>
                </c:pt>
                <c:pt idx="16">
                  <c:v>0.91712801960267054</c:v>
                </c:pt>
                <c:pt idx="17">
                  <c:v>#N/A</c:v>
                </c:pt>
                <c:pt idx="18">
                  <c:v>1.4471509802035238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0</c:v>
                </c:pt>
              </c:numCache>
            </c:numRef>
          </c:xVal>
          <c:yVal>
            <c:numRef>
              <c:f>Lognormal!$S$2:$S$51</c:f>
              <c:numCache>
                <c:formatCode>General</c:formatCode>
                <c:ptCount val="50"/>
                <c:pt idx="0">
                  <c:v>3.7956875642576517</c:v>
                </c:pt>
                <c:pt idx="1">
                  <c:v>4.0872072900045611</c:v>
                </c:pt>
                <c:pt idx="2">
                  <c:v>4.2631131068497057</c:v>
                </c:pt>
                <c:pt idx="3">
                  <c:v>#N/A</c:v>
                </c:pt>
                <c:pt idx="4">
                  <c:v>4.4044239010785233</c:v>
                </c:pt>
                <c:pt idx="5">
                  <c:v>4.521595552486068</c:v>
                </c:pt>
                <c:pt idx="6">
                  <c:v>4.6245989236607459</c:v>
                </c:pt>
                <c:pt idx="7">
                  <c:v>4.7186860934125141</c:v>
                </c:pt>
                <c:pt idx="8">
                  <c:v>4.8070937985119926</c:v>
                </c:pt>
                <c:pt idx="9">
                  <c:v>4.8920876193630463</c:v>
                </c:pt>
                <c:pt idx="10">
                  <c:v>4.9754585935778923</c:v>
                </c:pt>
                <c:pt idx="11">
                  <c:v>5.0588145494171179</c:v>
                </c:pt>
                <c:pt idx="12">
                  <c:v>5.1438058861213705</c:v>
                </c:pt>
                <c:pt idx="13">
                  <c:v>5.2323739547618748</c:v>
                </c:pt>
                <c:pt idx="14">
                  <c:v>#N/A</c:v>
                </c:pt>
                <c:pt idx="15">
                  <c:v>5.348432819301741</c:v>
                </c:pt>
                <c:pt idx="16">
                  <c:v>5.4814680469957819</c:v>
                </c:pt>
                <c:pt idx="17">
                  <c:v>#N/A</c:v>
                </c:pt>
                <c:pt idx="18">
                  <c:v>5.781789624763003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 formatCode="0.00">
                  <c:v>#N/A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Lognormal!$T$1</c:f>
              <c:strCache>
                <c:ptCount val="1"/>
                <c:pt idx="0">
                  <c:v>t50CI</c:v>
                </c:pt>
              </c:strCache>
            </c:strRef>
          </c:tx>
          <c:spPr>
            <a:ln w="28575">
              <a:noFill/>
            </a:ln>
          </c:spPr>
          <c:xVal>
            <c:numRef>
              <c:f>Lognormal!$P$2:$P$51</c:f>
              <c:numCache>
                <c:formatCode>General</c:formatCode>
                <c:ptCount val="50"/>
                <c:pt idx="0">
                  <c:v>-1.7980761038936293</c:v>
                </c:pt>
                <c:pt idx="1">
                  <c:v>-1.3555018111021335</c:v>
                </c:pt>
                <c:pt idx="2">
                  <c:v>-1.0840322150320134</c:v>
                </c:pt>
                <c:pt idx="3">
                  <c:v>#N/A</c:v>
                </c:pt>
                <c:pt idx="4">
                  <c:v>-0.86323237228718164</c:v>
                </c:pt>
                <c:pt idx="5">
                  <c:v>-0.67816209815014417</c:v>
                </c:pt>
                <c:pt idx="6">
                  <c:v>-0.51389110901812785</c:v>
                </c:pt>
                <c:pt idx="7">
                  <c:v>-0.36248808364097362</c:v>
                </c:pt>
                <c:pt idx="8">
                  <c:v>-0.21900451632612572</c:v>
                </c:pt>
                <c:pt idx="9">
                  <c:v>-7.9913902643637708E-2</c:v>
                </c:pt>
                <c:pt idx="10">
                  <c:v>5.7640404928040422E-2</c:v>
                </c:pt>
                <c:pt idx="11">
                  <c:v>0.19629936057414091</c:v>
                </c:pt>
                <c:pt idx="12">
                  <c:v>0.33885806185153799</c:v>
                </c:pt>
                <c:pt idx="13">
                  <c:v>0.48869526551286357</c:v>
                </c:pt>
                <c:pt idx="14">
                  <c:v>#N/A</c:v>
                </c:pt>
                <c:pt idx="15">
                  <c:v>0.68702574017468665</c:v>
                </c:pt>
                <c:pt idx="16">
                  <c:v>0.91712801960267054</c:v>
                </c:pt>
                <c:pt idx="17">
                  <c:v>#N/A</c:v>
                </c:pt>
                <c:pt idx="18">
                  <c:v>1.4471509802035238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0</c:v>
                </c:pt>
              </c:numCache>
            </c:numRef>
          </c:xVal>
          <c:yVal>
            <c:numRef>
              <c:f>Lognormal!$T$2:$T$51</c:f>
              <c:numCache>
                <c:formatCode>General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5.0699953018637895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07232"/>
        <c:axId val="98007808"/>
      </c:scatterChart>
      <c:valAx>
        <c:axId val="9800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z(F; K-M corrected)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007808"/>
        <c:crosses val="autoZero"/>
        <c:crossBetween val="midCat"/>
      </c:valAx>
      <c:valAx>
        <c:axId val="98007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ln(time[s])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8007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Spin" dx="16" fmlaLink="$E$2" max="3000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159374</xdr:colOff>
      <xdr:row>15</xdr:row>
      <xdr:rowOff>129991</xdr:rowOff>
    </xdr:from>
    <xdr:to>
      <xdr:col>10</xdr:col>
      <xdr:colOff>115796</xdr:colOff>
      <xdr:row>30</xdr:row>
      <xdr:rowOff>15691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169334</xdr:colOff>
      <xdr:row>30</xdr:row>
      <xdr:rowOff>92637</xdr:rowOff>
    </xdr:from>
    <xdr:to>
      <xdr:col>10</xdr:col>
      <xdr:colOff>148169</xdr:colOff>
      <xdr:row>44</xdr:row>
      <xdr:rowOff>168837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20701</xdr:colOff>
      <xdr:row>15</xdr:row>
      <xdr:rowOff>173723</xdr:rowOff>
    </xdr:from>
    <xdr:to>
      <xdr:col>18</xdr:col>
      <xdr:colOff>263703</xdr:colOff>
      <xdr:row>30</xdr:row>
      <xdr:rowOff>59423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358124</xdr:colOff>
      <xdr:row>30</xdr:row>
      <xdr:rowOff>105865</xdr:rowOff>
    </xdr:from>
    <xdr:to>
      <xdr:col>18</xdr:col>
      <xdr:colOff>249099</xdr:colOff>
      <xdr:row>44</xdr:row>
      <xdr:rowOff>182065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31750</xdr:colOff>
      <xdr:row>0</xdr:row>
      <xdr:rowOff>0</xdr:rowOff>
    </xdr:from>
    <xdr:to>
      <xdr:col>14</xdr:col>
      <xdr:colOff>243418</xdr:colOff>
      <xdr:row>16</xdr:row>
      <xdr:rowOff>74084</xdr:rowOff>
    </xdr:to>
    <xdr:sp macro="" textlink="">
      <xdr:nvSpPr>
        <xdr:cNvPr id="8" name="TextBox 7"/>
        <xdr:cNvSpPr txBox="1"/>
      </xdr:nvSpPr>
      <xdr:spPr>
        <a:xfrm>
          <a:off x="3481917" y="0"/>
          <a:ext cx="5852584" cy="3132667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Instructions for Creating Plots</a:t>
          </a:r>
        </a:p>
        <a:p>
          <a:r>
            <a:rPr lang="de-DE" sz="900" b="0"/>
            <a:t>Click</a:t>
          </a:r>
          <a:r>
            <a:rPr lang="de-DE" sz="900" b="0" baseline="0"/>
            <a:t> in this box and use the grabbers and borders to resize or move it.</a:t>
          </a:r>
        </a:p>
        <a:p>
          <a:r>
            <a:rPr lang="de-DE" sz="900" b="0" baseline="0"/>
            <a:t>Workbook requires Excel 2010 or later for the formulas to work corectly.</a:t>
          </a:r>
        </a:p>
        <a:p>
          <a:endParaRPr lang="de-DE" sz="900" b="0"/>
        </a:p>
        <a:p>
          <a:r>
            <a:rPr lang="de-DE" sz="1100" b="0"/>
            <a:t>1) Copy participant ID (optional), times and success = True/False to columns B to 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/>
            <a:t>2) </a:t>
          </a: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Sort &amp; Filter &gt;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 Sort to s</a:t>
          </a:r>
          <a:r>
            <a:rPr lang="de-DE" sz="1100" b="0"/>
            <a:t>ort  Columns B, C, D by time (D). </a:t>
          </a:r>
          <a:br>
            <a:rPr lang="de-DE" sz="1100" b="0"/>
          </a:br>
          <a:r>
            <a:rPr lang="de-DE" sz="1100" b="0"/>
            <a:t>    IMPORTANT: Include</a:t>
          </a:r>
          <a:r>
            <a:rPr lang="de-DE" sz="1100" b="0" baseline="0"/>
            <a:t> </a:t>
          </a:r>
          <a:r>
            <a:rPr lang="de-DE" sz="1100" b="0" i="1"/>
            <a:t>only </a:t>
          </a:r>
          <a:r>
            <a:rPr lang="de-DE" sz="1100" b="0" i="0"/>
            <a:t>these columns in the sort. Do not sort the entire sheet.</a:t>
          </a:r>
          <a:r>
            <a:rPr lang="de-DE" sz="1100" b="0"/>
            <a:t/>
          </a:r>
          <a:br>
            <a:rPr lang="de-DE" sz="1100" b="0"/>
          </a:br>
          <a:r>
            <a:rPr lang="de-DE" sz="1100" b="0"/>
            <a:t>3) Enter offset time in field E2 and press Enter--plots update automatically.</a:t>
          </a:r>
        </a:p>
        <a:p>
          <a:r>
            <a:rPr lang="de-DE" sz="1100" b="0"/>
            <a:t>4) Check the plots. Look for deviations from the black regression line.</a:t>
          </a:r>
          <a:br>
            <a:rPr lang="de-DE" sz="1100" b="0"/>
          </a:br>
          <a:r>
            <a:rPr lang="de-DE" sz="1100" b="0"/>
            <a:t>The red line indicates whether such deviations are random (red line close to black line) or     systematic (red line is curved). </a:t>
          </a:r>
        </a:p>
        <a:p>
          <a:r>
            <a:rPr lang="de-DE" sz="1100" b="0"/>
            <a:t>5) If applicable, fine-tune offset time to maximize </a:t>
          </a:r>
          <a:r>
            <a:rPr lang="de-DE" sz="1100" b="0" i="1"/>
            <a:t>R²</a:t>
          </a:r>
          <a:r>
            <a:rPr lang="de-DE" sz="1100" b="0"/>
            <a:t> for Weibull/lognormal models.</a:t>
          </a:r>
        </a:p>
        <a:p>
          <a:r>
            <a:rPr lang="de-DE" sz="1100" b="0"/>
            <a:t>6) Interpretation: If data are distributed according to the respective distribution, points line up on the black line.</a:t>
          </a:r>
        </a:p>
        <a:p>
          <a:r>
            <a:rPr lang="de-DE" sz="1100" b="0" i="1"/>
            <a:t>R² </a:t>
          </a:r>
          <a:r>
            <a:rPr lang="de-DE" sz="1100" b="0"/>
            <a:t>= goodness of fit (see Significance Levels Table sheet for significance)</a:t>
          </a:r>
        </a:p>
        <a:p>
          <a:endParaRPr lang="de-DE" sz="900" b="0"/>
        </a:p>
        <a:p>
          <a:r>
            <a:rPr lang="de-DE" sz="1100" b="1"/>
            <a:t>Disclaimer: </a:t>
          </a:r>
          <a:r>
            <a:rPr lang="de-DE" sz="1100" b="0"/>
            <a:t>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 author is not responsible for any damage or losses of any kind caused by the use of the workbook.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2</xdr:row>
          <xdr:rowOff>19050</xdr:rowOff>
        </xdr:from>
        <xdr:to>
          <xdr:col>5</xdr:col>
          <xdr:colOff>9525</xdr:colOff>
          <xdr:row>3</xdr:row>
          <xdr:rowOff>180975</xdr:rowOff>
        </xdr:to>
        <xdr:sp macro="" textlink="">
          <xdr:nvSpPr>
            <xdr:cNvPr id="14339" name="Spinner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38370</xdr:colOff>
      <xdr:row>15</xdr:row>
      <xdr:rowOff>63500</xdr:rowOff>
    </xdr:from>
    <xdr:to>
      <xdr:col>21</xdr:col>
      <xdr:colOff>307312</xdr:colOff>
      <xdr:row>51</xdr:row>
      <xdr:rowOff>163333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30</xdr:col>
      <xdr:colOff>268941</xdr:colOff>
      <xdr:row>9</xdr:row>
      <xdr:rowOff>190499</xdr:rowOff>
    </xdr:from>
    <xdr:to>
      <xdr:col>34</xdr:col>
      <xdr:colOff>153231</xdr:colOff>
      <xdr:row>13</xdr:row>
      <xdr:rowOff>46978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805" b="1"/>
        <a:stretch/>
      </xdr:blipFill>
      <xdr:spPr>
        <a:xfrm>
          <a:off x="18444882" y="1916205"/>
          <a:ext cx="2304762" cy="618479"/>
        </a:xfrm>
        <a:prstGeom prst="rect">
          <a:avLst/>
        </a:prstGeom>
      </xdr:spPr>
    </xdr:pic>
    <xdr:clientData/>
  </xdr:twoCellAnchor>
  <xdr:twoCellAnchor>
    <xdr:from>
      <xdr:col>6</xdr:col>
      <xdr:colOff>127000</xdr:colOff>
      <xdr:row>0</xdr:row>
      <xdr:rowOff>0</xdr:rowOff>
    </xdr:from>
    <xdr:to>
      <xdr:col>14</xdr:col>
      <xdr:colOff>306916</xdr:colOff>
      <xdr:row>16</xdr:row>
      <xdr:rowOff>19050</xdr:rowOff>
    </xdr:to>
    <xdr:sp macro="" textlink="">
      <xdr:nvSpPr>
        <xdr:cNvPr id="5" name="TextBox 4"/>
        <xdr:cNvSpPr txBox="1"/>
      </xdr:nvSpPr>
      <xdr:spPr>
        <a:xfrm>
          <a:off x="4356100" y="0"/>
          <a:ext cx="5475816" cy="30765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Instructions for Exponential Plot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</a:t>
          </a:r>
          <a:r>
            <a:rPr lang="de-DE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this box and use the grabbers and borders to resize or move it.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Workbook requires Excel 2010 or later for the formulas to work corectly.</a:t>
          </a:r>
          <a:endParaRPr lang="en-US" sz="900">
            <a:effectLst/>
          </a:endParaRPr>
        </a:p>
        <a:p>
          <a:endParaRPr lang="de-DE" sz="900" b="0"/>
        </a:p>
        <a:p>
          <a:r>
            <a:rPr lang="de-DE" sz="1100" b="0"/>
            <a:t>1) Copy participant ID, times, and success = True/False to columns  B to D</a:t>
          </a:r>
        </a:p>
        <a:p>
          <a:r>
            <a:rPr lang="de-DE" sz="1100" b="0"/>
            <a:t>2)  </a:t>
          </a: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Sort &amp; Filter &gt;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 Sort to sort Columns B, C, D  by time (D). </a:t>
          </a:r>
          <a:b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IMPORTANT: Include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columns in the sort. Do not sort the entire sheet.</a:t>
          </a: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/>
            <a:t>3) Check the plot. Points should line up roughly linear</a:t>
          </a:r>
        </a:p>
        <a:p>
          <a:r>
            <a:rPr lang="de-DE" sz="1100" b="0"/>
            <a:t>4) Parameters: </a:t>
          </a:r>
        </a:p>
        <a:p>
          <a:r>
            <a:rPr lang="de-DE" sz="1100" b="0">
              <a:latin typeface="Symbol" panose="05050102010706020507" pitchFamily="18" charset="2"/>
            </a:rPr>
            <a:t>l </a:t>
          </a:r>
          <a:r>
            <a:rPr lang="de-DE" sz="1100" b="0"/>
            <a:t>= coefficient before x  (* -1)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i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</a:t>
          </a:r>
          <a:r>
            <a:rPr lang="de-DE" sz="1100" b="0"/>
            <a:t>= constant / </a:t>
          </a:r>
          <a:r>
            <a:rPr lang="de-DE" sz="1100" b="0">
              <a:latin typeface="Symbol" panose="05050102010706020507" pitchFamily="18" charset="2"/>
            </a:rPr>
            <a:t>l</a:t>
          </a:r>
          <a:endParaRPr lang="de-DE" sz="1100" b="0"/>
        </a:p>
        <a:p>
          <a:r>
            <a:rPr lang="de-DE" sz="1100" b="0" i="1"/>
            <a:t>R² </a:t>
          </a:r>
          <a:r>
            <a:rPr lang="de-DE" sz="1100" b="0"/>
            <a:t>= goodness of fit (see Significance Levels Table sheet for significance)</a:t>
          </a:r>
        </a:p>
        <a:p>
          <a:r>
            <a:rPr lang="de-DE" sz="1100" b="0"/>
            <a:t>Horizontal dotted lines: </a:t>
          </a:r>
          <a:r>
            <a:rPr lang="de-DE" sz="1100" b="0" i="1"/>
            <a:t>R</a:t>
          </a:r>
          <a:r>
            <a:rPr lang="de-DE" sz="1100" b="0"/>
            <a:t> = 0.05, 0.50, 0.95 respectively</a:t>
          </a:r>
        </a:p>
        <a:p>
          <a:r>
            <a:rPr lang="de-DE" sz="1100" b="0"/>
            <a:t>Confidence bands: 90% estimation and prediction CB</a:t>
          </a:r>
          <a:br>
            <a:rPr lang="de-DE" sz="1100" b="0"/>
          </a:br>
          <a:endParaRPr lang="de-DE" sz="1100" b="0"/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Disclaimer: </a:t>
          </a: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 author is not responsible for any damage or losses of any kind caused by the use of the workbook.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280147</xdr:colOff>
      <xdr:row>16</xdr:row>
      <xdr:rowOff>78441</xdr:rowOff>
    </xdr:from>
    <xdr:to>
      <xdr:col>20</xdr:col>
      <xdr:colOff>414618</xdr:colOff>
      <xdr:row>45</xdr:row>
      <xdr:rowOff>78442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268941</xdr:colOff>
      <xdr:row>0</xdr:row>
      <xdr:rowOff>67236</xdr:rowOff>
    </xdr:from>
    <xdr:to>
      <xdr:col>15</xdr:col>
      <xdr:colOff>403413</xdr:colOff>
      <xdr:row>15</xdr:row>
      <xdr:rowOff>156882</xdr:rowOff>
    </xdr:to>
    <xdr:sp macro="" textlink="">
      <xdr:nvSpPr>
        <xdr:cNvPr id="3" name="TextBox 2"/>
        <xdr:cNvSpPr txBox="1"/>
      </xdr:nvSpPr>
      <xdr:spPr>
        <a:xfrm>
          <a:off x="4471147" y="67236"/>
          <a:ext cx="5715001" cy="295835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Instructions for Lognormal Plot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</a:t>
          </a:r>
          <a:r>
            <a:rPr lang="de-DE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this box and use the grabbers and borders to resize or move it.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Workbook requires Excel 2010 or later for the formulas to work corectly.</a:t>
          </a:r>
          <a:endParaRPr lang="en-US" sz="900">
            <a:effectLst/>
          </a:endParaRPr>
        </a:p>
        <a:p>
          <a:endParaRPr lang="de-DE" sz="900" b="1"/>
        </a:p>
        <a:p>
          <a:r>
            <a:rPr lang="de-DE" sz="1100" b="0"/>
            <a:t>1) Copy participant ID, times, and success = True/False  into columns B to D.</a:t>
          </a:r>
        </a:p>
        <a:p>
          <a:r>
            <a:rPr lang="de-DE" sz="1100" b="1"/>
            <a:t>NOTE: </a:t>
          </a:r>
          <a:r>
            <a:rPr lang="de-DE" sz="1100" b="0"/>
            <a:t>If the model is to include an offset time, subtract it from observed times before plotting.</a:t>
          </a:r>
        </a:p>
        <a:p>
          <a:r>
            <a:rPr lang="de-DE" sz="1100" b="0"/>
            <a:t>2)  </a:t>
          </a: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Sort &amp; Filter &gt;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 Sort to sort Columns B, C, D  by time (D). </a:t>
          </a:r>
          <a:b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IMPORTANT: Include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columns in the sort. Do not sort the entire sheet.</a:t>
          </a: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/>
            <a:t>3) Check the plot. Points should line up roughly linear .</a:t>
          </a:r>
        </a:p>
        <a:p>
          <a:r>
            <a:rPr lang="de-DE" sz="1100" b="0"/>
            <a:t>4) Interpretation of summary: </a:t>
          </a:r>
        </a:p>
        <a:p>
          <a:r>
            <a:rPr lang="de-DE" sz="1100" b="0"/>
            <a:t>t50 = 50th percentile corresponding to K-M corrected geomean, </a:t>
          </a:r>
        </a:p>
        <a:p>
          <a:r>
            <a:rPr lang="de-DE" sz="1100" b="0"/>
            <a:t>t50 upper/lower = 90% K-M corrected confidence interval</a:t>
          </a:r>
        </a:p>
        <a:p>
          <a:r>
            <a:rPr lang="de-DE" sz="1100" b="0"/>
            <a:t>R² = goodness of fit (see Significance Levels Table sheet for significance)</a:t>
          </a:r>
        </a:p>
        <a:p>
          <a:r>
            <a:rPr lang="de-DE" sz="1100" b="0"/>
            <a:t>Confidence band: 90% prediction CB</a:t>
          </a:r>
        </a:p>
        <a:p>
          <a:endParaRPr lang="de-DE" sz="900" b="1"/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Disclaimer: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 author is not responsible for any damage or losses of any kind caused by the use of the workbook.</a:t>
          </a:r>
          <a:endParaRPr lang="en-US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12</xdr:col>
      <xdr:colOff>200025</xdr:colOff>
      <xdr:row>10</xdr:row>
      <xdr:rowOff>28575</xdr:rowOff>
    </xdr:to>
    <xdr:sp macro="" textlink="">
      <xdr:nvSpPr>
        <xdr:cNvPr id="2" name="TextBox 1"/>
        <xdr:cNvSpPr txBox="1"/>
      </xdr:nvSpPr>
      <xdr:spPr>
        <a:xfrm>
          <a:off x="3200400" y="390525"/>
          <a:ext cx="4314825" cy="17716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Instructions for reading this table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</a:t>
          </a:r>
          <a:r>
            <a:rPr lang="de-DE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this box and use the grabbers and borders to resize or move it.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Workbook requires Excel 2010 or later for the formulas to work corectly.</a:t>
          </a:r>
          <a:endParaRPr lang="de-DE" sz="1100" b="1"/>
        </a:p>
        <a:p>
          <a:endParaRPr lang="de-DE" sz="1100" b="0"/>
        </a:p>
        <a:p>
          <a:r>
            <a:rPr lang="de-DE" sz="1100" b="0" i="0"/>
            <a:t>The </a:t>
          </a:r>
          <a:r>
            <a:rPr lang="de-DE" sz="1100" b="0" i="1"/>
            <a:t>p </a:t>
          </a:r>
          <a:r>
            <a:rPr lang="de-DE" sz="1100" b="0"/>
            <a:t>values in columns B to E indicate the percentile of the </a:t>
          </a:r>
          <a:r>
            <a:rPr lang="de-DE" sz="1100" b="0" i="1"/>
            <a:t>R</a:t>
          </a:r>
          <a:r>
            <a:rPr lang="de-DE" sz="1100" b="0"/>
            <a:t>  and </a:t>
          </a:r>
          <a:r>
            <a:rPr lang="de-DE" sz="1100" b="0" i="1"/>
            <a:t>R²</a:t>
          </a:r>
          <a:r>
            <a:rPr lang="de-DE" sz="1100" b="0"/>
            <a:t> statistic for a given number of observations in column A.</a:t>
          </a:r>
        </a:p>
        <a:p>
          <a:endParaRPr lang="de-DE" sz="1100" b="0"/>
        </a:p>
        <a:p>
          <a:r>
            <a:rPr lang="de-DE" sz="1100" b="0"/>
            <a:t>If the observed </a:t>
          </a:r>
          <a:r>
            <a:rPr lang="de-DE" sz="1100" b="0" i="1"/>
            <a:t>R</a:t>
          </a:r>
          <a:r>
            <a:rPr lang="de-DE" sz="1100" b="0"/>
            <a:t> is smaller than the critical value, </a:t>
          </a:r>
          <a:r>
            <a:rPr lang="de-DE" sz="1100" b="0" i="1"/>
            <a:t>p</a:t>
          </a:r>
          <a:r>
            <a:rPr lang="de-DE" sz="1100" b="0"/>
            <a:t> is the likelihood of being wrong when rejecting the hypothesis that the observed distribution fits the theoretical one.</a:t>
          </a:r>
        </a:p>
        <a:p>
          <a:endParaRPr lang="de-D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tl.nist.gov/div898/handbook/eda/section3/eda367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71"/>
  <sheetViews>
    <sheetView tabSelected="1" zoomScaleNormal="100" workbookViewId="0"/>
  </sheetViews>
  <sheetFormatPr defaultRowHeight="15" x14ac:dyDescent="0.25"/>
  <cols>
    <col min="1" max="1" width="9.140625" style="3"/>
    <col min="2" max="3" width="9.140625" style="9"/>
    <col min="4" max="4" width="12" style="27" customWidth="1"/>
    <col min="5" max="5" width="12" style="9" customWidth="1"/>
    <col min="6" max="6" width="12" style="5" customWidth="1"/>
    <col min="7" max="7" width="9.140625" style="5"/>
    <col min="11" max="11" width="9.140625" customWidth="1"/>
    <col min="12" max="12" width="5.42578125" customWidth="1"/>
    <col min="13" max="13" width="11.85546875" customWidth="1"/>
  </cols>
  <sheetData>
    <row r="1" spans="1:37" s="5" customFormat="1" x14ac:dyDescent="0.25">
      <c r="A1" s="6" t="s">
        <v>0</v>
      </c>
      <c r="B1" s="19" t="s">
        <v>89</v>
      </c>
      <c r="C1" s="28" t="s">
        <v>1</v>
      </c>
      <c r="D1" s="56" t="s">
        <v>2</v>
      </c>
      <c r="E1" s="58" t="s">
        <v>81</v>
      </c>
      <c r="F1" s="4" t="s">
        <v>5</v>
      </c>
      <c r="G1" s="4" t="s">
        <v>19</v>
      </c>
      <c r="H1" s="4"/>
      <c r="I1" s="5" t="s">
        <v>4</v>
      </c>
      <c r="J1" s="4" t="s">
        <v>3</v>
      </c>
      <c r="K1" s="5" t="s">
        <v>6</v>
      </c>
      <c r="M1" s="5" t="s">
        <v>7</v>
      </c>
      <c r="N1" s="4" t="s">
        <v>2</v>
      </c>
      <c r="O1" s="4" t="s">
        <v>21</v>
      </c>
      <c r="Q1" s="5" t="s">
        <v>82</v>
      </c>
      <c r="R1" s="5" t="s">
        <v>9</v>
      </c>
      <c r="S1" s="5" t="s">
        <v>21</v>
      </c>
      <c r="U1" s="5" t="s">
        <v>8</v>
      </c>
      <c r="V1" s="4" t="s">
        <v>9</v>
      </c>
      <c r="W1" s="4" t="s">
        <v>80</v>
      </c>
      <c r="Z1" s="5" t="s">
        <v>10</v>
      </c>
      <c r="AA1" s="5" t="s">
        <v>20</v>
      </c>
      <c r="AB1" s="4" t="str">
        <f t="shared" ref="AB1:AB50" si="0">V1</f>
        <v>ln(Time)</v>
      </c>
      <c r="AE1" s="5" t="s">
        <v>11</v>
      </c>
      <c r="AF1" s="5" t="str">
        <f t="shared" ref="AF1:AF50" si="1">AA1</f>
        <v>Norm-Inv (K-M)</v>
      </c>
      <c r="AG1" s="5" t="s">
        <v>2</v>
      </c>
      <c r="AH1" s="5" t="s">
        <v>12</v>
      </c>
      <c r="AI1" s="5" t="s">
        <v>13</v>
      </c>
      <c r="AJ1" s="5" t="str">
        <f t="shared" ref="AJ1:AJ50" si="2">AG1</f>
        <v>Time</v>
      </c>
      <c r="AK1" s="5" t="s">
        <v>9</v>
      </c>
    </row>
    <row r="2" spans="1:37" x14ac:dyDescent="0.25">
      <c r="A2" s="3">
        <v>1</v>
      </c>
      <c r="B2" s="17"/>
      <c r="C2" s="9" t="b">
        <v>1</v>
      </c>
      <c r="D2" s="37">
        <v>92</v>
      </c>
      <c r="E2" s="59">
        <v>0</v>
      </c>
      <c r="F2" s="2">
        <f>IF(C2,D2,"")</f>
        <v>92</v>
      </c>
      <c r="G2" s="5">
        <f t="shared" ref="G2:G50" si="3">IF(C2,1-I2*K2,"")</f>
        <v>3.6082474226804218E-2</v>
      </c>
      <c r="I2">
        <f t="shared" ref="I2:I50" si="4">(COUNT(D$2:D$50)+0.7)/(COUNT(D$2:D$50)+0.4)</f>
        <v>1.0154639175257731</v>
      </c>
      <c r="J2">
        <f t="shared" ref="J2:J50" si="5">IF(C2,(COUNT(D$2:D$50)-A2+0.7)/(COUNT(D$2:D$50)-A2+1.7),"")</f>
        <v>0.949238578680203</v>
      </c>
      <c r="K2">
        <f>PRODUCT(J2)</f>
        <v>0.949238578680203</v>
      </c>
      <c r="N2" s="3">
        <f t="shared" ref="N2:N50" si="6">IF(C2,D2,NA())</f>
        <v>92</v>
      </c>
      <c r="O2">
        <f t="shared" ref="O2:O50" si="7">IF(C2, LN(1/(1-G2)),NA())</f>
        <v>3.6749542208741652E-2</v>
      </c>
      <c r="P2" s="12"/>
      <c r="Q2" s="12"/>
      <c r="R2" s="12">
        <f>IF(C2,LN(F2-E$2),NA())</f>
        <v>4.5217885770490405</v>
      </c>
      <c r="S2" s="12">
        <f>IF(C2, LN(1/(1-G2)),NA())</f>
        <v>3.6749542208741652E-2</v>
      </c>
      <c r="V2">
        <f>IF(C2, LN(D2-E$2),NA())</f>
        <v>4.5217885770490405</v>
      </c>
      <c r="W2">
        <f>IF(C2,LN(O2),NA())</f>
        <v>-3.3036295103058682</v>
      </c>
      <c r="AA2">
        <f>IF(C2,_xlfn.NORM.S.INV(G2),NA())</f>
        <v>-1.7980761038936293</v>
      </c>
      <c r="AB2" s="1">
        <f t="shared" si="0"/>
        <v>4.5217885770490405</v>
      </c>
      <c r="AF2" s="13">
        <f t="shared" si="1"/>
        <v>-1.7980761038936293</v>
      </c>
      <c r="AG2">
        <f t="shared" ref="AG2:AG50" si="8">IF(C2,D2,NA())</f>
        <v>92</v>
      </c>
      <c r="AH2">
        <f>1-MAX(AH3:AH50)</f>
        <v>0.19016266460108444</v>
      </c>
      <c r="AI2">
        <f t="shared" ref="AI2:AI50" si="9">IF(C2,_xlfn.NORM.S.INV(AH2),NA())</f>
        <v>-0.87729702226142214</v>
      </c>
      <c r="AJ2" s="5">
        <f t="shared" si="2"/>
        <v>92</v>
      </c>
      <c r="AK2">
        <f>V2</f>
        <v>4.5217885770490405</v>
      </c>
    </row>
    <row r="3" spans="1:37" x14ac:dyDescent="0.25">
      <c r="A3" s="3">
        <v>2</v>
      </c>
      <c r="B3" s="17"/>
      <c r="C3" s="9" t="b">
        <v>1</v>
      </c>
      <c r="D3" s="37">
        <v>102</v>
      </c>
      <c r="E3" s="60"/>
      <c r="F3" s="2">
        <f t="shared" ref="F3:F50" si="10">IF(C3,D3,"")</f>
        <v>102</v>
      </c>
      <c r="G3" s="5">
        <f t="shared" si="3"/>
        <v>8.7628865979381576E-2</v>
      </c>
      <c r="I3">
        <f t="shared" si="4"/>
        <v>1.0154639175257731</v>
      </c>
      <c r="J3">
        <f t="shared" si="5"/>
        <v>0.946524064171123</v>
      </c>
      <c r="K3">
        <f>PRODUCT(J2:J3)</f>
        <v>0.89847715736040601</v>
      </c>
      <c r="N3" s="3">
        <f t="shared" si="6"/>
        <v>102</v>
      </c>
      <c r="O3">
        <f t="shared" si="7"/>
        <v>9.170842648949909E-2</v>
      </c>
      <c r="P3" s="12"/>
      <c r="Q3" s="12"/>
      <c r="R3" s="12">
        <f t="shared" ref="R3:R50" si="11">IF(C3,LN(F3-E$2),NA())</f>
        <v>4.6249728132842707</v>
      </c>
      <c r="S3" s="12">
        <f t="shared" ref="S3:S50" si="12">IF(C3, LN(1/(1-G3)),NA())</f>
        <v>9.170842648949909E-2</v>
      </c>
      <c r="V3">
        <f t="shared" ref="V3:V50" si="13">IF(C3, LN(D3-E$2),NA())</f>
        <v>4.6249728132842707</v>
      </c>
      <c r="W3">
        <f t="shared" ref="W3:W50" si="14">IF(C3,LN(O3),NA())</f>
        <v>-2.3891410120167773</v>
      </c>
      <c r="AA3">
        <f t="shared" ref="AA3:AA50" si="15">IF(C3,_xlfn.NORM.S.INV(G3),NA())</f>
        <v>-1.3555018111021335</v>
      </c>
      <c r="AB3" s="1">
        <f t="shared" si="0"/>
        <v>4.6249728132842707</v>
      </c>
      <c r="AF3" s="13">
        <f t="shared" si="1"/>
        <v>-1.3555018111021335</v>
      </c>
      <c r="AG3">
        <f t="shared" si="8"/>
        <v>102</v>
      </c>
      <c r="AH3">
        <f t="shared" ref="AH3:AH50" si="16" xml:space="preserve"> IF(C3,     (IF(D3=MAX(D$2:D$50),    POWER(0.5, 1/COUNT(D$2:D$50)),  ((A3-0.3175)/(COUNT(D$2:D$50)+0.365)))),"")</f>
        <v>8.6883552801445926E-2</v>
      </c>
      <c r="AI3">
        <f t="shared" si="9"/>
        <v>-1.3601985364388696</v>
      </c>
      <c r="AJ3" s="5">
        <f t="shared" si="2"/>
        <v>102</v>
      </c>
      <c r="AK3">
        <f t="shared" ref="AK3:AK50" si="17">V3</f>
        <v>4.6249728132842707</v>
      </c>
    </row>
    <row r="4" spans="1:37" ht="15.75" thickBot="1" x14ac:dyDescent="0.3">
      <c r="A4" s="3">
        <v>3</v>
      </c>
      <c r="B4" s="17"/>
      <c r="C4" s="9" t="b">
        <v>1</v>
      </c>
      <c r="D4" s="37">
        <v>108</v>
      </c>
      <c r="E4" s="61"/>
      <c r="F4" s="2">
        <f t="shared" si="10"/>
        <v>108</v>
      </c>
      <c r="G4" s="5">
        <f t="shared" si="3"/>
        <v>0.13917525773195893</v>
      </c>
      <c r="I4">
        <f t="shared" si="4"/>
        <v>1.0154639175257731</v>
      </c>
      <c r="J4">
        <f t="shared" si="5"/>
        <v>0.94350282485875703</v>
      </c>
      <c r="K4">
        <f>PRODUCT(J2:J4)</f>
        <v>0.84771573604060901</v>
      </c>
      <c r="N4" s="3">
        <f t="shared" si="6"/>
        <v>108</v>
      </c>
      <c r="O4">
        <f t="shared" si="7"/>
        <v>0.14986434664657325</v>
      </c>
      <c r="P4" s="12"/>
      <c r="Q4" s="12"/>
      <c r="R4" s="12">
        <f t="shared" si="11"/>
        <v>4.6821312271242199</v>
      </c>
      <c r="S4" s="12">
        <f t="shared" si="12"/>
        <v>0.14986434664657325</v>
      </c>
      <c r="V4">
        <f t="shared" si="13"/>
        <v>4.6821312271242199</v>
      </c>
      <c r="W4">
        <f t="shared" si="14"/>
        <v>-1.8980247497517122</v>
      </c>
      <c r="AA4">
        <f t="shared" si="15"/>
        <v>-1.0840322150320134</v>
      </c>
      <c r="AB4" s="1">
        <f t="shared" si="0"/>
        <v>4.6821312271242199</v>
      </c>
      <c r="AF4" s="13">
        <f t="shared" si="1"/>
        <v>-1.0840322150320134</v>
      </c>
      <c r="AG4">
        <f t="shared" si="8"/>
        <v>108</v>
      </c>
      <c r="AH4">
        <f t="shared" si="16"/>
        <v>0.13852310870126519</v>
      </c>
      <c r="AI4">
        <f t="shared" si="9"/>
        <v>-1.0869787130612429</v>
      </c>
      <c r="AJ4" s="5">
        <f t="shared" si="2"/>
        <v>108</v>
      </c>
      <c r="AK4">
        <f t="shared" si="17"/>
        <v>4.6821312271242199</v>
      </c>
    </row>
    <row r="5" spans="1:37" x14ac:dyDescent="0.25">
      <c r="A5" s="3">
        <v>4</v>
      </c>
      <c r="B5" s="17"/>
      <c r="C5" s="9" t="b">
        <v>1</v>
      </c>
      <c r="D5" s="37">
        <v>118</v>
      </c>
      <c r="E5" s="23"/>
      <c r="F5" s="2">
        <f t="shared" si="10"/>
        <v>118</v>
      </c>
      <c r="G5" s="5">
        <f t="shared" si="3"/>
        <v>0.19072164948453629</v>
      </c>
      <c r="I5">
        <f t="shared" si="4"/>
        <v>1.0154639175257731</v>
      </c>
      <c r="J5">
        <f t="shared" si="5"/>
        <v>0.94011976047904189</v>
      </c>
      <c r="K5">
        <f>PRODUCT(J2:J5)</f>
        <v>0.79695431472081202</v>
      </c>
      <c r="N5" s="3">
        <f t="shared" si="6"/>
        <v>118</v>
      </c>
      <c r="O5">
        <f t="shared" si="7"/>
        <v>0.21161235371502038</v>
      </c>
      <c r="P5" s="12"/>
      <c r="Q5" s="12"/>
      <c r="R5" s="12">
        <f t="shared" si="11"/>
        <v>4.7706846244656651</v>
      </c>
      <c r="S5" s="12">
        <f t="shared" si="12"/>
        <v>0.21161235371502038</v>
      </c>
      <c r="V5">
        <f t="shared" si="13"/>
        <v>4.7706846244656651</v>
      </c>
      <c r="W5">
        <f t="shared" si="14"/>
        <v>-1.552999198306052</v>
      </c>
      <c r="AA5">
        <f t="shared" si="15"/>
        <v>-0.87524006258981824</v>
      </c>
      <c r="AB5" s="1">
        <f t="shared" si="0"/>
        <v>4.7706846244656651</v>
      </c>
      <c r="AF5" s="13">
        <f t="shared" si="1"/>
        <v>-0.87524006258981824</v>
      </c>
      <c r="AG5">
        <f t="shared" si="8"/>
        <v>118</v>
      </c>
      <c r="AH5">
        <f t="shared" si="16"/>
        <v>0.19016266460108444</v>
      </c>
      <c r="AI5">
        <f t="shared" si="9"/>
        <v>-0.87729702226142214</v>
      </c>
      <c r="AJ5" s="5">
        <f t="shared" si="2"/>
        <v>118</v>
      </c>
      <c r="AK5">
        <f t="shared" si="17"/>
        <v>4.7706846244656651</v>
      </c>
    </row>
    <row r="6" spans="1:37" x14ac:dyDescent="0.25">
      <c r="A6" s="3">
        <v>5</v>
      </c>
      <c r="B6" s="17"/>
      <c r="C6" s="9" t="b">
        <v>1</v>
      </c>
      <c r="D6" s="37">
        <v>133</v>
      </c>
      <c r="E6" s="23"/>
      <c r="F6" s="2">
        <f t="shared" si="10"/>
        <v>133</v>
      </c>
      <c r="G6" s="5">
        <f t="shared" si="3"/>
        <v>0.24226804123711354</v>
      </c>
      <c r="I6">
        <f t="shared" si="4"/>
        <v>1.0154639175257731</v>
      </c>
      <c r="J6">
        <f t="shared" si="5"/>
        <v>0.93630573248407645</v>
      </c>
      <c r="K6">
        <f>PRODUCT(J2:J6)</f>
        <v>0.74619289340101513</v>
      </c>
      <c r="N6" s="3">
        <f t="shared" si="6"/>
        <v>133</v>
      </c>
      <c r="O6">
        <f t="shared" si="7"/>
        <v>0.27742557228459191</v>
      </c>
      <c r="P6" s="12"/>
      <c r="Q6" s="12"/>
      <c r="R6" s="12">
        <f t="shared" si="11"/>
        <v>4.8903491282217537</v>
      </c>
      <c r="S6" s="12">
        <f t="shared" si="12"/>
        <v>0.27742557228459191</v>
      </c>
      <c r="V6">
        <f t="shared" si="13"/>
        <v>4.8903491282217537</v>
      </c>
      <c r="W6">
        <f t="shared" si="14"/>
        <v>-1.282202589753294</v>
      </c>
      <c r="AA6">
        <f t="shared" si="15"/>
        <v>-0.69902551986019013</v>
      </c>
      <c r="AB6" s="1">
        <f t="shared" si="0"/>
        <v>4.8903491282217537</v>
      </c>
      <c r="AF6" s="13">
        <f t="shared" si="1"/>
        <v>-0.69902551986019013</v>
      </c>
      <c r="AG6">
        <f t="shared" si="8"/>
        <v>133</v>
      </c>
      <c r="AH6">
        <f t="shared" si="16"/>
        <v>0.24180222050090372</v>
      </c>
      <c r="AI6">
        <f t="shared" si="9"/>
        <v>-0.70051708218724118</v>
      </c>
      <c r="AJ6" s="5">
        <f t="shared" si="2"/>
        <v>133</v>
      </c>
      <c r="AK6">
        <f t="shared" si="17"/>
        <v>4.8903491282217537</v>
      </c>
    </row>
    <row r="7" spans="1:37" x14ac:dyDescent="0.25">
      <c r="A7" s="3">
        <v>6</v>
      </c>
      <c r="B7" s="17"/>
      <c r="C7" s="9" t="b">
        <v>1</v>
      </c>
      <c r="D7" s="37">
        <v>146</v>
      </c>
      <c r="E7" s="23"/>
      <c r="F7" s="2">
        <f t="shared" si="10"/>
        <v>146</v>
      </c>
      <c r="G7" s="5">
        <f t="shared" si="3"/>
        <v>0.29381443298969079</v>
      </c>
      <c r="I7">
        <f t="shared" si="4"/>
        <v>1.0154639175257731</v>
      </c>
      <c r="J7">
        <f t="shared" si="5"/>
        <v>0.93197278911564629</v>
      </c>
      <c r="K7">
        <f>PRODUCT(J2:J7)</f>
        <v>0.69543147208121825</v>
      </c>
      <c r="N7" s="3">
        <f t="shared" si="6"/>
        <v>146</v>
      </c>
      <c r="O7">
        <f t="shared" si="7"/>
        <v>0.34787723323520325</v>
      </c>
      <c r="P7" s="12"/>
      <c r="Q7" s="12"/>
      <c r="R7" s="12">
        <f t="shared" si="11"/>
        <v>4.9836066217083363</v>
      </c>
      <c r="S7" s="12">
        <f t="shared" si="12"/>
        <v>0.34787723323520325</v>
      </c>
      <c r="V7">
        <f t="shared" si="13"/>
        <v>4.9836066217083363</v>
      </c>
      <c r="W7">
        <f t="shared" si="14"/>
        <v>-1.0559056395082418</v>
      </c>
      <c r="AA7">
        <f t="shared" si="15"/>
        <v>-0.54227530374150223</v>
      </c>
      <c r="AB7" s="1">
        <f t="shared" si="0"/>
        <v>4.9836066217083363</v>
      </c>
      <c r="AF7" s="13">
        <f t="shared" si="1"/>
        <v>-0.54227530374150223</v>
      </c>
      <c r="AG7">
        <f t="shared" si="8"/>
        <v>146</v>
      </c>
      <c r="AH7">
        <f t="shared" si="16"/>
        <v>0.293441776400723</v>
      </c>
      <c r="AI7">
        <f t="shared" si="9"/>
        <v>-0.54335768716705857</v>
      </c>
      <c r="AJ7" s="5">
        <f t="shared" si="2"/>
        <v>146</v>
      </c>
      <c r="AK7">
        <f t="shared" si="17"/>
        <v>4.9836066217083363</v>
      </c>
    </row>
    <row r="8" spans="1:37" x14ac:dyDescent="0.25">
      <c r="A8" s="3">
        <v>7</v>
      </c>
      <c r="B8" s="17"/>
      <c r="C8" s="9" t="b">
        <v>1</v>
      </c>
      <c r="D8" s="37">
        <v>156</v>
      </c>
      <c r="E8" s="23"/>
      <c r="F8" s="2">
        <f t="shared" si="10"/>
        <v>156</v>
      </c>
      <c r="G8" s="5">
        <f t="shared" si="3"/>
        <v>0.34536082474226815</v>
      </c>
      <c r="I8">
        <f t="shared" si="4"/>
        <v>1.0154639175257731</v>
      </c>
      <c r="J8">
        <f t="shared" si="5"/>
        <v>0.92700729927007297</v>
      </c>
      <c r="K8">
        <f>PRODUCT(J2:J8)</f>
        <v>0.64467005076142125</v>
      </c>
      <c r="N8" s="3">
        <f t="shared" si="6"/>
        <v>156</v>
      </c>
      <c r="O8">
        <f t="shared" si="7"/>
        <v>0.42367107260473696</v>
      </c>
      <c r="P8" s="12"/>
      <c r="Q8" s="12"/>
      <c r="R8" s="12">
        <f t="shared" si="11"/>
        <v>5.0498560072495371</v>
      </c>
      <c r="S8" s="12">
        <f t="shared" si="12"/>
        <v>0.42367107260473696</v>
      </c>
      <c r="V8">
        <f t="shared" si="13"/>
        <v>5.0498560072495371</v>
      </c>
      <c r="W8">
        <f t="shared" si="14"/>
        <v>-0.85879789697575593</v>
      </c>
      <c r="AA8">
        <f t="shared" si="15"/>
        <v>-0.39787592189543253</v>
      </c>
      <c r="AB8" s="1">
        <f t="shared" si="0"/>
        <v>5.0498560072495371</v>
      </c>
      <c r="AF8" s="13">
        <f t="shared" si="1"/>
        <v>-0.39787592189543253</v>
      </c>
      <c r="AG8">
        <f t="shared" si="8"/>
        <v>156</v>
      </c>
      <c r="AH8">
        <f t="shared" si="16"/>
        <v>0.34508133230054228</v>
      </c>
      <c r="AI8">
        <f t="shared" si="9"/>
        <v>-0.39863432676783489</v>
      </c>
      <c r="AJ8" s="5">
        <f t="shared" si="2"/>
        <v>156</v>
      </c>
      <c r="AK8">
        <f t="shared" si="17"/>
        <v>5.0498560072495371</v>
      </c>
    </row>
    <row r="9" spans="1:37" x14ac:dyDescent="0.25">
      <c r="A9" s="3">
        <v>8</v>
      </c>
      <c r="B9" s="17"/>
      <c r="C9" s="9" t="b">
        <v>1</v>
      </c>
      <c r="D9" s="37">
        <v>170</v>
      </c>
      <c r="E9" s="23"/>
      <c r="F9" s="2">
        <f t="shared" si="10"/>
        <v>170</v>
      </c>
      <c r="G9" s="5">
        <f t="shared" si="3"/>
        <v>0.39690721649484539</v>
      </c>
      <c r="I9">
        <f t="shared" si="4"/>
        <v>1.0154639175257731</v>
      </c>
      <c r="J9">
        <f t="shared" si="5"/>
        <v>0.92125984251968507</v>
      </c>
      <c r="K9">
        <f>PRODUCT(J2:J9)</f>
        <v>0.59390862944162437</v>
      </c>
      <c r="N9" s="3">
        <f t="shared" si="6"/>
        <v>170</v>
      </c>
      <c r="O9">
        <f t="shared" si="7"/>
        <v>0.50568422426557202</v>
      </c>
      <c r="P9" s="12"/>
      <c r="Q9" s="12"/>
      <c r="R9" s="12">
        <f t="shared" si="11"/>
        <v>5.1357984370502621</v>
      </c>
      <c r="S9" s="12">
        <f t="shared" si="12"/>
        <v>0.50568422426557202</v>
      </c>
      <c r="V9">
        <f t="shared" si="13"/>
        <v>5.1357984370502621</v>
      </c>
      <c r="W9">
        <f t="shared" si="14"/>
        <v>-0.6818428672191218</v>
      </c>
      <c r="AA9">
        <f t="shared" si="15"/>
        <v>-0.26136060643458681</v>
      </c>
      <c r="AB9" s="1">
        <f t="shared" si="0"/>
        <v>5.1357984370502621</v>
      </c>
      <c r="AF9" s="13">
        <f t="shared" si="1"/>
        <v>-0.26136060643458681</v>
      </c>
      <c r="AG9">
        <f t="shared" si="8"/>
        <v>170</v>
      </c>
      <c r="AH9">
        <f t="shared" si="16"/>
        <v>0.3967208882003615</v>
      </c>
      <c r="AI9">
        <f t="shared" si="9"/>
        <v>-0.26184392043963184</v>
      </c>
      <c r="AJ9" s="5">
        <f t="shared" si="2"/>
        <v>170</v>
      </c>
      <c r="AK9">
        <f t="shared" si="17"/>
        <v>5.1357984370502621</v>
      </c>
    </row>
    <row r="10" spans="1:37" x14ac:dyDescent="0.25">
      <c r="A10" s="3">
        <v>9</v>
      </c>
      <c r="B10" s="17"/>
      <c r="C10" s="9" t="b">
        <v>1</v>
      </c>
      <c r="D10" s="37">
        <v>172</v>
      </c>
      <c r="E10" s="23"/>
      <c r="F10" s="2">
        <f t="shared" si="10"/>
        <v>172</v>
      </c>
      <c r="G10" s="5">
        <f t="shared" si="3"/>
        <v>0.44845360824742275</v>
      </c>
      <c r="I10">
        <f t="shared" si="4"/>
        <v>1.0154639175257731</v>
      </c>
      <c r="J10">
        <f t="shared" si="5"/>
        <v>0.9145299145299145</v>
      </c>
      <c r="K10">
        <f>PRODUCT(J2:J10)</f>
        <v>0.54314720812182737</v>
      </c>
      <c r="N10" s="3">
        <f t="shared" si="6"/>
        <v>172</v>
      </c>
      <c r="O10">
        <f t="shared" si="7"/>
        <v>0.5950293246014221</v>
      </c>
      <c r="P10" s="12"/>
      <c r="Q10" s="12"/>
      <c r="R10" s="12">
        <f t="shared" si="11"/>
        <v>5.1474944768134527</v>
      </c>
      <c r="S10" s="12">
        <f t="shared" si="12"/>
        <v>0.5950293246014221</v>
      </c>
      <c r="V10">
        <f t="shared" si="13"/>
        <v>5.1474944768134527</v>
      </c>
      <c r="W10">
        <f t="shared" si="14"/>
        <v>-0.51914458960656829</v>
      </c>
      <c r="AA10">
        <f t="shared" si="15"/>
        <v>-0.12956927093944973</v>
      </c>
      <c r="AB10" s="1">
        <f t="shared" si="0"/>
        <v>5.1474944768134527</v>
      </c>
      <c r="AF10" s="13">
        <f t="shared" si="1"/>
        <v>-0.12956927093944973</v>
      </c>
      <c r="AG10">
        <f t="shared" si="8"/>
        <v>172</v>
      </c>
      <c r="AH10">
        <f t="shared" si="16"/>
        <v>0.44836044410018072</v>
      </c>
      <c r="AI10">
        <f t="shared" si="9"/>
        <v>-0.12980477092653392</v>
      </c>
      <c r="AJ10" s="5">
        <f t="shared" si="2"/>
        <v>172</v>
      </c>
      <c r="AK10">
        <f t="shared" si="17"/>
        <v>5.1474944768134527</v>
      </c>
    </row>
    <row r="11" spans="1:37" x14ac:dyDescent="0.25">
      <c r="A11" s="3">
        <v>10</v>
      </c>
      <c r="B11" s="17"/>
      <c r="C11" s="9" t="b">
        <v>1</v>
      </c>
      <c r="D11" s="37">
        <v>193</v>
      </c>
      <c r="E11" s="23"/>
      <c r="F11" s="2">
        <f t="shared" si="10"/>
        <v>193</v>
      </c>
      <c r="G11" s="5">
        <f t="shared" si="3"/>
        <v>0.5</v>
      </c>
      <c r="I11">
        <f t="shared" si="4"/>
        <v>1.0154639175257731</v>
      </c>
      <c r="J11">
        <f t="shared" si="5"/>
        <v>0.90654205607476634</v>
      </c>
      <c r="K11">
        <f>PRODUCT(J2:J11)</f>
        <v>0.49238578680203043</v>
      </c>
      <c r="N11" s="3">
        <f t="shared" si="6"/>
        <v>193</v>
      </c>
      <c r="O11">
        <f t="shared" si="7"/>
        <v>0.69314718055994529</v>
      </c>
      <c r="P11" s="12"/>
      <c r="Q11" s="12"/>
      <c r="R11" s="12">
        <f t="shared" si="11"/>
        <v>5.2626901889048856</v>
      </c>
      <c r="S11" s="12">
        <f t="shared" si="12"/>
        <v>0.69314718055994529</v>
      </c>
      <c r="V11">
        <f t="shared" si="13"/>
        <v>5.2626901889048856</v>
      </c>
      <c r="W11">
        <f t="shared" si="14"/>
        <v>-0.36651292058166435</v>
      </c>
      <c r="AA11">
        <f t="shared" si="15"/>
        <v>0</v>
      </c>
      <c r="AB11" s="1">
        <f t="shared" si="0"/>
        <v>5.2626901889048856</v>
      </c>
      <c r="AF11" s="13">
        <f t="shared" si="1"/>
        <v>0</v>
      </c>
      <c r="AG11">
        <f t="shared" si="8"/>
        <v>193</v>
      </c>
      <c r="AH11">
        <f t="shared" si="16"/>
        <v>0.5</v>
      </c>
      <c r="AI11">
        <f t="shared" si="9"/>
        <v>0</v>
      </c>
      <c r="AJ11" s="5">
        <f t="shared" si="2"/>
        <v>193</v>
      </c>
      <c r="AK11">
        <f t="shared" si="17"/>
        <v>5.2626901889048856</v>
      </c>
    </row>
    <row r="12" spans="1:37" x14ac:dyDescent="0.25">
      <c r="A12" s="3">
        <v>11</v>
      </c>
      <c r="B12" s="17"/>
      <c r="C12" s="9" t="b">
        <v>1</v>
      </c>
      <c r="D12" s="37">
        <v>196</v>
      </c>
      <c r="E12" s="23"/>
      <c r="F12" s="2">
        <f t="shared" si="10"/>
        <v>196</v>
      </c>
      <c r="G12" s="5">
        <f t="shared" si="3"/>
        <v>0.55154639175257736</v>
      </c>
      <c r="I12">
        <f t="shared" si="4"/>
        <v>1.0154639175257731</v>
      </c>
      <c r="J12">
        <f t="shared" si="5"/>
        <v>0.89690721649484539</v>
      </c>
      <c r="K12">
        <f>PRODUCT(J2:J12)</f>
        <v>0.44162436548223349</v>
      </c>
      <c r="N12" s="3">
        <f t="shared" si="6"/>
        <v>196</v>
      </c>
      <c r="O12">
        <f t="shared" si="7"/>
        <v>0.80195004040874451</v>
      </c>
      <c r="P12" s="12"/>
      <c r="Q12" s="12"/>
      <c r="R12" s="12">
        <f t="shared" si="11"/>
        <v>5.2781146592305168</v>
      </c>
      <c r="S12" s="12">
        <f t="shared" si="12"/>
        <v>0.80195004040874451</v>
      </c>
      <c r="V12">
        <f t="shared" si="13"/>
        <v>5.2781146592305168</v>
      </c>
      <c r="W12">
        <f t="shared" si="14"/>
        <v>-0.22070896681064173</v>
      </c>
      <c r="AA12">
        <f t="shared" si="15"/>
        <v>0.12956927093944998</v>
      </c>
      <c r="AB12" s="1">
        <f t="shared" si="0"/>
        <v>5.2781146592305168</v>
      </c>
      <c r="AF12" s="13">
        <f t="shared" si="1"/>
        <v>0.12956927093944998</v>
      </c>
      <c r="AG12">
        <f t="shared" si="8"/>
        <v>196</v>
      </c>
      <c r="AH12">
        <f t="shared" si="16"/>
        <v>0.55163955589981928</v>
      </c>
      <c r="AI12">
        <f t="shared" si="9"/>
        <v>0.12980477092653392</v>
      </c>
      <c r="AJ12" s="5">
        <f t="shared" si="2"/>
        <v>196</v>
      </c>
      <c r="AK12">
        <f t="shared" si="17"/>
        <v>5.2781146592305168</v>
      </c>
    </row>
    <row r="13" spans="1:37" x14ac:dyDescent="0.25">
      <c r="A13" s="3">
        <v>12</v>
      </c>
      <c r="B13" s="17"/>
      <c r="C13" s="9" t="b">
        <v>1</v>
      </c>
      <c r="D13" s="37">
        <v>198</v>
      </c>
      <c r="E13" s="23"/>
      <c r="F13" s="2">
        <f t="shared" si="10"/>
        <v>198</v>
      </c>
      <c r="G13" s="5">
        <f t="shared" si="3"/>
        <v>0.60309278350515461</v>
      </c>
      <c r="I13">
        <f t="shared" si="4"/>
        <v>1.0154639175257731</v>
      </c>
      <c r="J13">
        <f t="shared" si="5"/>
        <v>0.88505747126436796</v>
      </c>
      <c r="K13">
        <f>PRODUCT(J2:J13)</f>
        <v>0.39086294416243661</v>
      </c>
      <c r="N13" s="3">
        <f t="shared" si="6"/>
        <v>198</v>
      </c>
      <c r="O13">
        <f t="shared" si="7"/>
        <v>0.9240527372096442</v>
      </c>
      <c r="P13" s="12"/>
      <c r="Q13" s="12"/>
      <c r="R13" s="12">
        <f t="shared" si="11"/>
        <v>5.2882670306945352</v>
      </c>
      <c r="S13" s="12">
        <f t="shared" si="12"/>
        <v>0.9240527372096442</v>
      </c>
      <c r="V13">
        <f t="shared" si="13"/>
        <v>5.2882670306945352</v>
      </c>
      <c r="W13">
        <f t="shared" si="14"/>
        <v>-7.8986134066950806E-2</v>
      </c>
      <c r="AA13">
        <f t="shared" si="15"/>
        <v>0.26136060643458681</v>
      </c>
      <c r="AB13" s="1">
        <f t="shared" si="0"/>
        <v>5.2882670306945352</v>
      </c>
      <c r="AF13" s="13">
        <f t="shared" si="1"/>
        <v>0.26136060643458681</v>
      </c>
      <c r="AG13">
        <f t="shared" si="8"/>
        <v>198</v>
      </c>
      <c r="AH13">
        <f t="shared" si="16"/>
        <v>0.60327911179963856</v>
      </c>
      <c r="AI13">
        <f t="shared" si="9"/>
        <v>0.26184392043963201</v>
      </c>
      <c r="AJ13" s="5">
        <f t="shared" si="2"/>
        <v>198</v>
      </c>
      <c r="AK13">
        <f t="shared" si="17"/>
        <v>5.2882670306945352</v>
      </c>
    </row>
    <row r="14" spans="1:37" x14ac:dyDescent="0.25">
      <c r="A14" s="3">
        <v>13</v>
      </c>
      <c r="B14" s="17"/>
      <c r="C14" s="9" t="b">
        <v>1</v>
      </c>
      <c r="D14" s="37">
        <v>254</v>
      </c>
      <c r="E14" s="23"/>
      <c r="F14" s="2">
        <f t="shared" si="10"/>
        <v>254</v>
      </c>
      <c r="G14" s="5">
        <f t="shared" si="3"/>
        <v>0.65463917525773196</v>
      </c>
      <c r="I14">
        <f t="shared" si="4"/>
        <v>1.0154639175257731</v>
      </c>
      <c r="J14">
        <f t="shared" si="5"/>
        <v>0.87012987012987009</v>
      </c>
      <c r="K14">
        <f>PRODUCT(J2:J14)</f>
        <v>0.34010152284263961</v>
      </c>
      <c r="N14" s="3">
        <f t="shared" si="6"/>
        <v>254</v>
      </c>
      <c r="O14">
        <f t="shared" si="7"/>
        <v>1.063165539672362</v>
      </c>
      <c r="P14" s="12"/>
      <c r="Q14" s="12"/>
      <c r="R14" s="12">
        <f t="shared" si="11"/>
        <v>5.5373342670185366</v>
      </c>
      <c r="S14" s="12">
        <f t="shared" si="12"/>
        <v>1.063165539672362</v>
      </c>
      <c r="V14">
        <f t="shared" si="13"/>
        <v>5.5373342670185366</v>
      </c>
      <c r="W14">
        <f t="shared" si="14"/>
        <v>6.1250815995799672E-2</v>
      </c>
      <c r="AA14">
        <f t="shared" si="15"/>
        <v>0.39787592189543292</v>
      </c>
      <c r="AB14" s="1">
        <f t="shared" si="0"/>
        <v>5.5373342670185366</v>
      </c>
      <c r="AF14" s="13">
        <f t="shared" si="1"/>
        <v>0.39787592189543292</v>
      </c>
      <c r="AG14">
        <f t="shared" si="8"/>
        <v>254</v>
      </c>
      <c r="AH14">
        <f t="shared" si="16"/>
        <v>0.65491866769945783</v>
      </c>
      <c r="AI14">
        <f t="shared" si="9"/>
        <v>0.39863432676783522</v>
      </c>
      <c r="AJ14" s="5">
        <f t="shared" si="2"/>
        <v>254</v>
      </c>
      <c r="AK14">
        <f t="shared" si="17"/>
        <v>5.5373342670185366</v>
      </c>
    </row>
    <row r="15" spans="1:37" x14ac:dyDescent="0.25">
      <c r="A15" s="3">
        <v>14</v>
      </c>
      <c r="B15" s="17"/>
      <c r="C15" s="9" t="b">
        <v>1</v>
      </c>
      <c r="D15" s="37">
        <v>320</v>
      </c>
      <c r="E15" s="23"/>
      <c r="F15" s="2">
        <f t="shared" si="10"/>
        <v>320</v>
      </c>
      <c r="G15" s="5">
        <f t="shared" si="3"/>
        <v>0.70618556701030921</v>
      </c>
      <c r="I15">
        <f t="shared" si="4"/>
        <v>1.0154639175257731</v>
      </c>
      <c r="J15">
        <f t="shared" si="5"/>
        <v>0.85074626865671643</v>
      </c>
      <c r="K15">
        <f>PRODUCT(J2:J15)</f>
        <v>0.28934010152284267</v>
      </c>
      <c r="N15" s="3">
        <f t="shared" si="6"/>
        <v>320</v>
      </c>
      <c r="O15">
        <f t="shared" si="7"/>
        <v>1.2248068912287777</v>
      </c>
      <c r="P15" s="12"/>
      <c r="Q15" s="12"/>
      <c r="R15" s="12">
        <f t="shared" si="11"/>
        <v>5.768320995793772</v>
      </c>
      <c r="S15" s="12">
        <f t="shared" si="12"/>
        <v>1.2248068912287777</v>
      </c>
      <c r="V15">
        <f t="shared" si="13"/>
        <v>5.768320995793772</v>
      </c>
      <c r="W15">
        <f t="shared" si="14"/>
        <v>0.20278319175698634</v>
      </c>
      <c r="AA15">
        <f t="shared" si="15"/>
        <v>0.54227530374150223</v>
      </c>
      <c r="AB15" s="1">
        <f t="shared" si="0"/>
        <v>5.768320995793772</v>
      </c>
      <c r="AF15" s="13">
        <f t="shared" si="1"/>
        <v>0.54227530374150223</v>
      </c>
      <c r="AG15">
        <f t="shared" si="8"/>
        <v>320</v>
      </c>
      <c r="AH15">
        <f t="shared" si="16"/>
        <v>0.70655822359927711</v>
      </c>
      <c r="AI15">
        <f t="shared" si="9"/>
        <v>0.54335768716705879</v>
      </c>
      <c r="AJ15" s="5">
        <f t="shared" si="2"/>
        <v>320</v>
      </c>
      <c r="AK15">
        <f t="shared" si="17"/>
        <v>5.768320995793772</v>
      </c>
    </row>
    <row r="16" spans="1:37" x14ac:dyDescent="0.25">
      <c r="A16" s="3">
        <v>15</v>
      </c>
      <c r="B16" s="17"/>
      <c r="C16" s="9" t="b">
        <v>1</v>
      </c>
      <c r="D16" s="37">
        <v>396</v>
      </c>
      <c r="E16" s="23"/>
      <c r="F16" s="2">
        <f t="shared" si="10"/>
        <v>396</v>
      </c>
      <c r="G16" s="5">
        <f t="shared" si="3"/>
        <v>0.75773195876288657</v>
      </c>
      <c r="I16">
        <f t="shared" si="4"/>
        <v>1.0154639175257731</v>
      </c>
      <c r="J16">
        <f t="shared" si="5"/>
        <v>0.82456140350877194</v>
      </c>
      <c r="K16">
        <f>PRODUCT(J2:J16)</f>
        <v>0.23857868020304571</v>
      </c>
      <c r="N16" s="3">
        <f t="shared" si="6"/>
        <v>396</v>
      </c>
      <c r="O16">
        <f t="shared" si="7"/>
        <v>1.4177105573532696</v>
      </c>
      <c r="P16" s="12"/>
      <c r="Q16" s="12"/>
      <c r="R16" s="12">
        <f t="shared" si="11"/>
        <v>5.9814142112544806</v>
      </c>
      <c r="S16" s="12">
        <f t="shared" si="12"/>
        <v>1.4177105573532696</v>
      </c>
      <c r="V16">
        <f t="shared" si="13"/>
        <v>5.9814142112544806</v>
      </c>
      <c r="W16">
        <f t="shared" si="14"/>
        <v>0.34904328693129177</v>
      </c>
      <c r="AA16">
        <f t="shared" si="15"/>
        <v>0.69902551986019068</v>
      </c>
      <c r="AB16" s="1">
        <f t="shared" si="0"/>
        <v>5.9814142112544806</v>
      </c>
      <c r="AF16" s="13">
        <f t="shared" si="1"/>
        <v>0.69902551986019068</v>
      </c>
      <c r="AG16">
        <f t="shared" si="8"/>
        <v>396</v>
      </c>
      <c r="AH16">
        <f t="shared" si="16"/>
        <v>0.75819777949909628</v>
      </c>
      <c r="AI16">
        <f t="shared" si="9"/>
        <v>0.70051708218724118</v>
      </c>
      <c r="AJ16" s="5">
        <f t="shared" si="2"/>
        <v>396</v>
      </c>
      <c r="AK16">
        <f t="shared" si="17"/>
        <v>5.9814142112544806</v>
      </c>
    </row>
    <row r="17" spans="1:37" x14ac:dyDescent="0.25">
      <c r="A17" s="3">
        <v>16</v>
      </c>
      <c r="B17" s="17"/>
      <c r="C17" s="9" t="b">
        <v>1</v>
      </c>
      <c r="D17" s="37">
        <v>877</v>
      </c>
      <c r="E17" s="23"/>
      <c r="F17" s="2">
        <f t="shared" si="10"/>
        <v>877</v>
      </c>
      <c r="G17" s="5">
        <f>IF(C17,1-I17*K17,"")</f>
        <v>0.80927835051546393</v>
      </c>
      <c r="I17">
        <f t="shared" si="4"/>
        <v>1.0154639175257731</v>
      </c>
      <c r="J17">
        <f>IF(C17,(COUNT(D$2:D$50)-A17+0.7)/(COUNT(D$2:D$50)-A17+1.7),"")</f>
        <v>0.78723404255319152</v>
      </c>
      <c r="K17">
        <f>PRODUCT(J2:J17)</f>
        <v>0.18781725888324877</v>
      </c>
      <c r="N17" s="3">
        <f>IF(C17,D17,NA())</f>
        <v>877</v>
      </c>
      <c r="O17">
        <f>IF(C17, LN(1/(1-G17)),NA())</f>
        <v>1.6569402464191039</v>
      </c>
      <c r="R17" s="12">
        <f>IF(C17,LN(F17-E$2),NA())</f>
        <v>6.776506992372183</v>
      </c>
      <c r="S17" s="12">
        <f>IF(C17, LN(1/(1-G17)),NA())</f>
        <v>1.6569402464191039</v>
      </c>
      <c r="V17">
        <f>IF(C17, LN(D17-E$2),NA())</f>
        <v>6.776506992372183</v>
      </c>
      <c r="W17">
        <f>IF(C17,LN(O17),NA())</f>
        <v>0.50497267649009991</v>
      </c>
      <c r="AA17">
        <f>IF(C17,_xlfn.NORM.S.INV(G17),NA())</f>
        <v>0.87524006258981879</v>
      </c>
      <c r="AB17" s="1">
        <f t="shared" si="0"/>
        <v>6.776506992372183</v>
      </c>
      <c r="AF17" s="13">
        <f t="shared" si="1"/>
        <v>0.87524006258981879</v>
      </c>
      <c r="AG17">
        <f>IF(C17,D17,NA())</f>
        <v>877</v>
      </c>
      <c r="AH17">
        <f xml:space="preserve"> IF(C17,     (IF(D17=MAX(D$2:D$50),    POWER(0.5, 1/COUNT(D$2:D$50)),  ((A17-0.3175)/(COUNT(D$2:D$50)+0.365)))),"")</f>
        <v>0.80983733539891556</v>
      </c>
      <c r="AI17">
        <f>IF(C17,_xlfn.NORM.S.INV(AH17),NA())</f>
        <v>0.87729702226142214</v>
      </c>
      <c r="AJ17" s="5">
        <f t="shared" si="2"/>
        <v>877</v>
      </c>
      <c r="AK17">
        <f t="shared" si="17"/>
        <v>6.776506992372183</v>
      </c>
    </row>
    <row r="18" spans="1:37" x14ac:dyDescent="0.25">
      <c r="A18" s="3">
        <v>17</v>
      </c>
      <c r="B18" s="17"/>
      <c r="C18" s="9" t="b">
        <v>0</v>
      </c>
      <c r="D18" s="37">
        <v>900</v>
      </c>
      <c r="E18" s="23"/>
      <c r="F18" s="2" t="str">
        <f t="shared" si="10"/>
        <v/>
      </c>
      <c r="G18" s="5" t="str">
        <f>IF(C18,1-I18*K18,"")</f>
        <v/>
      </c>
      <c r="I18">
        <f t="shared" si="4"/>
        <v>1.0154639175257731</v>
      </c>
      <c r="J18" t="str">
        <f>IF(C18,(COUNT(D$2:D$50)-A18+0.7)/(COUNT(D$2:D$50)-A18+1.7),"")</f>
        <v/>
      </c>
      <c r="K18">
        <f>PRODUCT(J2:J18)</f>
        <v>0.18781725888324877</v>
      </c>
      <c r="N18" s="3" t="e">
        <f>IF(C18,D18,NA())</f>
        <v>#N/A</v>
      </c>
      <c r="O18" t="e">
        <f>IF(C18, LN(1/(1-G18)),NA())</f>
        <v>#N/A</v>
      </c>
      <c r="R18" s="12" t="e">
        <f>IF(C18,LN(F18-E$2),NA())</f>
        <v>#N/A</v>
      </c>
      <c r="S18" s="12" t="e">
        <f>IF(C18, LN(1/(1-G18)),NA())</f>
        <v>#N/A</v>
      </c>
      <c r="V18" t="e">
        <f>IF(C18, LN(D18-E$2),NA())</f>
        <v>#N/A</v>
      </c>
      <c r="W18" t="e">
        <f>IF(C18,LN(O18),NA())</f>
        <v>#N/A</v>
      </c>
      <c r="AA18" t="e">
        <f>IF(C18,_xlfn.NORM.S.INV(G18),NA())</f>
        <v>#N/A</v>
      </c>
      <c r="AB18" s="1" t="e">
        <f t="shared" si="0"/>
        <v>#N/A</v>
      </c>
      <c r="AF18" s="13" t="e">
        <f t="shared" si="1"/>
        <v>#N/A</v>
      </c>
      <c r="AG18" t="e">
        <f>IF(C18,D18,NA())</f>
        <v>#N/A</v>
      </c>
      <c r="AH18" t="str">
        <f xml:space="preserve"> IF(C18,     (IF(D18=MAX(D$2:D$50),    POWER(0.5, 1/COUNT(D$2:D$50)),  ((A18-0.3175)/(COUNT(D$2:D$50)+0.365)))),"")</f>
        <v/>
      </c>
      <c r="AI18" t="e">
        <f>IF(C18,_xlfn.NORM.S.INV(AH18),NA())</f>
        <v>#N/A</v>
      </c>
      <c r="AJ18" s="5" t="e">
        <f t="shared" si="2"/>
        <v>#N/A</v>
      </c>
      <c r="AK18" t="e">
        <f t="shared" si="17"/>
        <v>#N/A</v>
      </c>
    </row>
    <row r="19" spans="1:37" x14ac:dyDescent="0.25">
      <c r="A19" s="3">
        <v>18</v>
      </c>
      <c r="B19" s="17"/>
      <c r="C19" s="9" t="b">
        <v>0</v>
      </c>
      <c r="D19" s="37">
        <v>900</v>
      </c>
      <c r="E19" s="23"/>
      <c r="F19" s="2" t="str">
        <f t="shared" si="10"/>
        <v/>
      </c>
      <c r="G19" s="5" t="str">
        <f>IF(C19,1-I19*K19,"")</f>
        <v/>
      </c>
      <c r="I19">
        <f t="shared" si="4"/>
        <v>1.0154639175257731</v>
      </c>
      <c r="J19" t="str">
        <f>IF(C19,(COUNT(D$2:D$50)-A19+0.7)/(COUNT(D$2:D$50)-A19+1.7),"")</f>
        <v/>
      </c>
      <c r="K19">
        <f>PRODUCT(J2:J19)</f>
        <v>0.18781725888324877</v>
      </c>
      <c r="N19" s="3" t="e">
        <f>IF(C19,D19,NA())</f>
        <v>#N/A</v>
      </c>
      <c r="O19" t="e">
        <f>IF(C19, LN(1/(1-G19)),NA())</f>
        <v>#N/A</v>
      </c>
      <c r="R19" s="12" t="e">
        <f>IF(C19,LN(F19-E$2),NA())</f>
        <v>#N/A</v>
      </c>
      <c r="S19" s="12" t="e">
        <f>IF(C19, LN(1/(1-G19)),NA())</f>
        <v>#N/A</v>
      </c>
      <c r="V19" t="e">
        <f>IF(C19, LN(D19-E$2),NA())</f>
        <v>#N/A</v>
      </c>
      <c r="W19" t="e">
        <f>IF(C19,LN(O19),NA())</f>
        <v>#N/A</v>
      </c>
      <c r="AA19" t="e">
        <f>IF(C19,_xlfn.NORM.S.INV(G19),NA())</f>
        <v>#N/A</v>
      </c>
      <c r="AB19" s="1" t="e">
        <f t="shared" si="0"/>
        <v>#N/A</v>
      </c>
      <c r="AF19" s="13" t="e">
        <f t="shared" si="1"/>
        <v>#N/A</v>
      </c>
      <c r="AG19" t="e">
        <f>IF(C19,D19,NA())</f>
        <v>#N/A</v>
      </c>
      <c r="AH19" t="str">
        <f xml:space="preserve"> IF(C19,     (IF(D19=MAX(D$2:D$50),    POWER(0.5, 1/COUNT(D$2:D$50)),  ((A19-0.3175)/(COUNT(D$2:D$50)+0.365)))),"")</f>
        <v/>
      </c>
      <c r="AI19" t="e">
        <f>IF(C19,_xlfn.NORM.S.INV(AH19),NA())</f>
        <v>#N/A</v>
      </c>
      <c r="AJ19" s="5" t="e">
        <f t="shared" si="2"/>
        <v>#N/A</v>
      </c>
      <c r="AK19" t="e">
        <f t="shared" si="17"/>
        <v>#N/A</v>
      </c>
    </row>
    <row r="20" spans="1:37" x14ac:dyDescent="0.25">
      <c r="A20" s="3">
        <v>19</v>
      </c>
      <c r="B20" s="17"/>
      <c r="C20" s="9" t="b">
        <v>0</v>
      </c>
      <c r="D20" s="37">
        <v>900</v>
      </c>
      <c r="E20" s="45"/>
      <c r="F20" s="2" t="str">
        <f t="shared" si="10"/>
        <v/>
      </c>
      <c r="G20" s="5" t="str">
        <f t="shared" si="3"/>
        <v/>
      </c>
      <c r="I20">
        <f t="shared" si="4"/>
        <v>1.0154639175257731</v>
      </c>
      <c r="J20" t="str">
        <f t="shared" si="5"/>
        <v/>
      </c>
      <c r="K20">
        <f>PRODUCT(J2:J20)</f>
        <v>0.18781725888324877</v>
      </c>
      <c r="N20" s="3" t="e">
        <f t="shared" si="6"/>
        <v>#N/A</v>
      </c>
      <c r="O20" t="e">
        <f t="shared" si="7"/>
        <v>#N/A</v>
      </c>
      <c r="R20" s="12" t="e">
        <f t="shared" si="11"/>
        <v>#N/A</v>
      </c>
      <c r="S20" s="12" t="e">
        <f t="shared" si="12"/>
        <v>#N/A</v>
      </c>
      <c r="V20" t="e">
        <f t="shared" si="13"/>
        <v>#N/A</v>
      </c>
      <c r="W20" t="e">
        <f t="shared" si="14"/>
        <v>#N/A</v>
      </c>
      <c r="AA20" t="e">
        <f t="shared" si="15"/>
        <v>#N/A</v>
      </c>
      <c r="AB20" s="1" t="e">
        <f t="shared" si="0"/>
        <v>#N/A</v>
      </c>
      <c r="AF20" s="13" t="e">
        <f t="shared" si="1"/>
        <v>#N/A</v>
      </c>
      <c r="AG20" t="e">
        <f t="shared" si="8"/>
        <v>#N/A</v>
      </c>
      <c r="AH20" t="str">
        <f t="shared" si="16"/>
        <v/>
      </c>
      <c r="AI20" t="e">
        <f t="shared" si="9"/>
        <v>#N/A</v>
      </c>
      <c r="AJ20" s="5" t="e">
        <f t="shared" si="2"/>
        <v>#N/A</v>
      </c>
      <c r="AK20" t="e">
        <f t="shared" si="17"/>
        <v>#N/A</v>
      </c>
    </row>
    <row r="21" spans="1:37" x14ac:dyDescent="0.25">
      <c r="A21" s="3">
        <v>20</v>
      </c>
      <c r="B21" s="17"/>
      <c r="D21" s="37"/>
      <c r="E21" s="45"/>
      <c r="F21" s="2" t="str">
        <f t="shared" si="10"/>
        <v/>
      </c>
      <c r="G21" s="5" t="str">
        <f t="shared" si="3"/>
        <v/>
      </c>
      <c r="I21">
        <f t="shared" si="4"/>
        <v>1.0154639175257731</v>
      </c>
      <c r="J21" t="str">
        <f t="shared" si="5"/>
        <v/>
      </c>
      <c r="K21">
        <f>PRODUCT(J2:J21)</f>
        <v>0.18781725888324877</v>
      </c>
      <c r="N21" s="3" t="e">
        <f t="shared" si="6"/>
        <v>#N/A</v>
      </c>
      <c r="O21" t="e">
        <f t="shared" si="7"/>
        <v>#N/A</v>
      </c>
      <c r="R21" s="12" t="e">
        <f t="shared" si="11"/>
        <v>#N/A</v>
      </c>
      <c r="S21" s="12" t="e">
        <f t="shared" si="12"/>
        <v>#N/A</v>
      </c>
      <c r="V21" t="e">
        <f t="shared" si="13"/>
        <v>#N/A</v>
      </c>
      <c r="W21" t="e">
        <f t="shared" si="14"/>
        <v>#N/A</v>
      </c>
      <c r="AA21" t="e">
        <f t="shared" si="15"/>
        <v>#N/A</v>
      </c>
      <c r="AB21" s="1" t="e">
        <f t="shared" si="0"/>
        <v>#N/A</v>
      </c>
      <c r="AF21" s="13" t="e">
        <f t="shared" si="1"/>
        <v>#N/A</v>
      </c>
      <c r="AG21" t="e">
        <f t="shared" si="8"/>
        <v>#N/A</v>
      </c>
      <c r="AH21" t="str">
        <f t="shared" si="16"/>
        <v/>
      </c>
      <c r="AI21" t="e">
        <f t="shared" si="9"/>
        <v>#N/A</v>
      </c>
      <c r="AJ21" s="5" t="e">
        <f t="shared" si="2"/>
        <v>#N/A</v>
      </c>
      <c r="AK21" t="e">
        <f t="shared" si="17"/>
        <v>#N/A</v>
      </c>
    </row>
    <row r="22" spans="1:37" x14ac:dyDescent="0.25">
      <c r="A22" s="3">
        <v>21</v>
      </c>
      <c r="B22" s="17"/>
      <c r="D22" s="37"/>
      <c r="E22" s="23"/>
      <c r="F22" s="2" t="str">
        <f t="shared" si="10"/>
        <v/>
      </c>
      <c r="G22" s="5" t="str">
        <f t="shared" si="3"/>
        <v/>
      </c>
      <c r="I22">
        <f t="shared" si="4"/>
        <v>1.0154639175257731</v>
      </c>
      <c r="J22" t="str">
        <f t="shared" si="5"/>
        <v/>
      </c>
      <c r="K22">
        <f>PRODUCT(J2:J22)</f>
        <v>0.18781725888324877</v>
      </c>
      <c r="N22" s="3" t="e">
        <f t="shared" si="6"/>
        <v>#N/A</v>
      </c>
      <c r="O22" t="e">
        <f t="shared" si="7"/>
        <v>#N/A</v>
      </c>
      <c r="R22" s="12" t="e">
        <f t="shared" si="11"/>
        <v>#N/A</v>
      </c>
      <c r="S22" s="12" t="e">
        <f t="shared" si="12"/>
        <v>#N/A</v>
      </c>
      <c r="V22" t="e">
        <f t="shared" si="13"/>
        <v>#N/A</v>
      </c>
      <c r="W22" t="e">
        <f t="shared" si="14"/>
        <v>#N/A</v>
      </c>
      <c r="AA22" t="e">
        <f t="shared" si="15"/>
        <v>#N/A</v>
      </c>
      <c r="AB22" s="1" t="e">
        <f t="shared" si="0"/>
        <v>#N/A</v>
      </c>
      <c r="AF22" s="13" t="e">
        <f t="shared" si="1"/>
        <v>#N/A</v>
      </c>
      <c r="AG22" t="e">
        <f t="shared" si="8"/>
        <v>#N/A</v>
      </c>
      <c r="AH22" t="str">
        <f t="shared" si="16"/>
        <v/>
      </c>
      <c r="AI22" t="e">
        <f t="shared" si="9"/>
        <v>#N/A</v>
      </c>
      <c r="AJ22" s="5" t="e">
        <f t="shared" si="2"/>
        <v>#N/A</v>
      </c>
      <c r="AK22" t="e">
        <f t="shared" si="17"/>
        <v>#N/A</v>
      </c>
    </row>
    <row r="23" spans="1:37" x14ac:dyDescent="0.25">
      <c r="A23" s="3">
        <v>22</v>
      </c>
      <c r="B23" s="17"/>
      <c r="D23" s="30"/>
      <c r="E23" s="25"/>
      <c r="F23" s="2" t="str">
        <f t="shared" si="10"/>
        <v/>
      </c>
      <c r="G23" s="5" t="str">
        <f t="shared" si="3"/>
        <v/>
      </c>
      <c r="I23">
        <f t="shared" si="4"/>
        <v>1.0154639175257731</v>
      </c>
      <c r="J23" t="str">
        <f t="shared" si="5"/>
        <v/>
      </c>
      <c r="K23">
        <f>PRODUCT(J2:J23)</f>
        <v>0.18781725888324877</v>
      </c>
      <c r="N23" s="3" t="e">
        <f t="shared" si="6"/>
        <v>#N/A</v>
      </c>
      <c r="O23" t="e">
        <f t="shared" si="7"/>
        <v>#N/A</v>
      </c>
      <c r="R23" s="12" t="e">
        <f t="shared" si="11"/>
        <v>#N/A</v>
      </c>
      <c r="S23" s="12" t="e">
        <f t="shared" si="12"/>
        <v>#N/A</v>
      </c>
      <c r="V23" t="e">
        <f t="shared" si="13"/>
        <v>#N/A</v>
      </c>
      <c r="W23" t="e">
        <f t="shared" si="14"/>
        <v>#N/A</v>
      </c>
      <c r="AA23" t="e">
        <f t="shared" si="15"/>
        <v>#N/A</v>
      </c>
      <c r="AB23" s="1" t="e">
        <f t="shared" si="0"/>
        <v>#N/A</v>
      </c>
      <c r="AF23" s="13" t="e">
        <f t="shared" si="1"/>
        <v>#N/A</v>
      </c>
      <c r="AG23" t="e">
        <f t="shared" si="8"/>
        <v>#N/A</v>
      </c>
      <c r="AH23" t="str">
        <f t="shared" si="16"/>
        <v/>
      </c>
      <c r="AI23" t="e">
        <f t="shared" si="9"/>
        <v>#N/A</v>
      </c>
      <c r="AJ23" s="5" t="e">
        <f t="shared" si="2"/>
        <v>#N/A</v>
      </c>
      <c r="AK23" t="e">
        <f t="shared" si="17"/>
        <v>#N/A</v>
      </c>
    </row>
    <row r="24" spans="1:37" x14ac:dyDescent="0.25">
      <c r="A24" s="3">
        <v>23</v>
      </c>
      <c r="B24" s="17"/>
      <c r="D24" s="37"/>
      <c r="E24" s="27"/>
      <c r="F24" s="2" t="str">
        <f t="shared" si="10"/>
        <v/>
      </c>
      <c r="G24" s="5" t="str">
        <f t="shared" si="3"/>
        <v/>
      </c>
      <c r="I24">
        <f t="shared" si="4"/>
        <v>1.0154639175257731</v>
      </c>
      <c r="J24" t="str">
        <f t="shared" si="5"/>
        <v/>
      </c>
      <c r="K24">
        <f>PRODUCT(J2:J24)</f>
        <v>0.18781725888324877</v>
      </c>
      <c r="N24" s="3" t="e">
        <f t="shared" si="6"/>
        <v>#N/A</v>
      </c>
      <c r="O24" t="e">
        <f t="shared" si="7"/>
        <v>#N/A</v>
      </c>
      <c r="R24" s="12" t="e">
        <f t="shared" si="11"/>
        <v>#N/A</v>
      </c>
      <c r="S24" s="12" t="e">
        <f t="shared" si="12"/>
        <v>#N/A</v>
      </c>
      <c r="V24" t="e">
        <f t="shared" si="13"/>
        <v>#N/A</v>
      </c>
      <c r="W24" t="e">
        <f t="shared" si="14"/>
        <v>#N/A</v>
      </c>
      <c r="AA24" t="e">
        <f t="shared" si="15"/>
        <v>#N/A</v>
      </c>
      <c r="AB24" s="1" t="e">
        <f t="shared" si="0"/>
        <v>#N/A</v>
      </c>
      <c r="AF24" s="13" t="e">
        <f t="shared" si="1"/>
        <v>#N/A</v>
      </c>
      <c r="AG24" t="e">
        <f t="shared" si="8"/>
        <v>#N/A</v>
      </c>
      <c r="AH24" t="str">
        <f t="shared" si="16"/>
        <v/>
      </c>
      <c r="AI24" t="e">
        <f t="shared" si="9"/>
        <v>#N/A</v>
      </c>
      <c r="AJ24" s="5" t="e">
        <f t="shared" si="2"/>
        <v>#N/A</v>
      </c>
      <c r="AK24" t="e">
        <f t="shared" si="17"/>
        <v>#N/A</v>
      </c>
    </row>
    <row r="25" spans="1:37" x14ac:dyDescent="0.25">
      <c r="A25" s="3">
        <v>24</v>
      </c>
      <c r="B25" s="17"/>
      <c r="D25" s="38"/>
      <c r="E25" s="51"/>
      <c r="F25" s="2" t="str">
        <f t="shared" si="10"/>
        <v/>
      </c>
      <c r="G25" s="5" t="str">
        <f t="shared" si="3"/>
        <v/>
      </c>
      <c r="I25">
        <f t="shared" si="4"/>
        <v>1.0154639175257731</v>
      </c>
      <c r="J25" t="str">
        <f t="shared" si="5"/>
        <v/>
      </c>
      <c r="K25">
        <f>PRODUCT(J2:J25)</f>
        <v>0.18781725888324877</v>
      </c>
      <c r="N25" s="3" t="e">
        <f t="shared" si="6"/>
        <v>#N/A</v>
      </c>
      <c r="O25" t="e">
        <f t="shared" si="7"/>
        <v>#N/A</v>
      </c>
      <c r="R25" s="12" t="e">
        <f t="shared" si="11"/>
        <v>#N/A</v>
      </c>
      <c r="S25" s="12" t="e">
        <f t="shared" si="12"/>
        <v>#N/A</v>
      </c>
      <c r="V25" t="e">
        <f t="shared" si="13"/>
        <v>#N/A</v>
      </c>
      <c r="W25" t="e">
        <f t="shared" si="14"/>
        <v>#N/A</v>
      </c>
      <c r="AA25" t="e">
        <f t="shared" si="15"/>
        <v>#N/A</v>
      </c>
      <c r="AB25" s="1" t="e">
        <f t="shared" si="0"/>
        <v>#N/A</v>
      </c>
      <c r="AF25" s="13" t="e">
        <f t="shared" si="1"/>
        <v>#N/A</v>
      </c>
      <c r="AG25" t="e">
        <f t="shared" si="8"/>
        <v>#N/A</v>
      </c>
      <c r="AH25" t="str">
        <f t="shared" si="16"/>
        <v/>
      </c>
      <c r="AI25" t="e">
        <f t="shared" si="9"/>
        <v>#N/A</v>
      </c>
      <c r="AJ25" s="5" t="e">
        <f t="shared" si="2"/>
        <v>#N/A</v>
      </c>
      <c r="AK25" t="e">
        <f t="shared" si="17"/>
        <v>#N/A</v>
      </c>
    </row>
    <row r="26" spans="1:37" x14ac:dyDescent="0.25">
      <c r="A26" s="3">
        <v>25</v>
      </c>
      <c r="B26" s="17"/>
      <c r="D26" s="37"/>
      <c r="E26" s="27"/>
      <c r="F26" s="2" t="str">
        <f t="shared" si="10"/>
        <v/>
      </c>
      <c r="G26" s="5" t="str">
        <f t="shared" si="3"/>
        <v/>
      </c>
      <c r="I26">
        <f t="shared" si="4"/>
        <v>1.0154639175257731</v>
      </c>
      <c r="J26" t="str">
        <f t="shared" si="5"/>
        <v/>
      </c>
      <c r="K26">
        <f>PRODUCT(J2:J26)</f>
        <v>0.18781725888324877</v>
      </c>
      <c r="N26" s="3" t="e">
        <f t="shared" si="6"/>
        <v>#N/A</v>
      </c>
      <c r="O26" t="e">
        <f t="shared" si="7"/>
        <v>#N/A</v>
      </c>
      <c r="R26" s="12" t="e">
        <f t="shared" si="11"/>
        <v>#N/A</v>
      </c>
      <c r="S26" s="12" t="e">
        <f t="shared" si="12"/>
        <v>#N/A</v>
      </c>
      <c r="V26" t="e">
        <f t="shared" si="13"/>
        <v>#N/A</v>
      </c>
      <c r="W26" t="e">
        <f t="shared" si="14"/>
        <v>#N/A</v>
      </c>
      <c r="AA26" t="e">
        <f t="shared" si="15"/>
        <v>#N/A</v>
      </c>
      <c r="AB26" s="1" t="e">
        <f t="shared" si="0"/>
        <v>#N/A</v>
      </c>
      <c r="AF26" s="13" t="e">
        <f t="shared" si="1"/>
        <v>#N/A</v>
      </c>
      <c r="AG26" t="e">
        <f t="shared" si="8"/>
        <v>#N/A</v>
      </c>
      <c r="AH26" t="str">
        <f t="shared" si="16"/>
        <v/>
      </c>
      <c r="AI26" t="e">
        <f t="shared" si="9"/>
        <v>#N/A</v>
      </c>
      <c r="AJ26" s="5" t="e">
        <f t="shared" si="2"/>
        <v>#N/A</v>
      </c>
      <c r="AK26" t="e">
        <f t="shared" si="17"/>
        <v>#N/A</v>
      </c>
    </row>
    <row r="27" spans="1:37" x14ac:dyDescent="0.25">
      <c r="A27" s="3">
        <v>26</v>
      </c>
      <c r="B27" s="17"/>
      <c r="D27" s="37"/>
      <c r="E27" s="27"/>
      <c r="F27" s="2" t="str">
        <f t="shared" si="10"/>
        <v/>
      </c>
      <c r="G27" s="5" t="str">
        <f t="shared" si="3"/>
        <v/>
      </c>
      <c r="I27">
        <f t="shared" si="4"/>
        <v>1.0154639175257731</v>
      </c>
      <c r="J27" t="str">
        <f t="shared" si="5"/>
        <v/>
      </c>
      <c r="K27">
        <f>PRODUCT(J2:J27)</f>
        <v>0.18781725888324877</v>
      </c>
      <c r="N27" s="3" t="e">
        <f t="shared" si="6"/>
        <v>#N/A</v>
      </c>
      <c r="O27" t="e">
        <f t="shared" si="7"/>
        <v>#N/A</v>
      </c>
      <c r="R27" s="12" t="e">
        <f t="shared" si="11"/>
        <v>#N/A</v>
      </c>
      <c r="S27" s="12" t="e">
        <f t="shared" si="12"/>
        <v>#N/A</v>
      </c>
      <c r="V27" t="e">
        <f t="shared" si="13"/>
        <v>#N/A</v>
      </c>
      <c r="W27" t="e">
        <f t="shared" si="14"/>
        <v>#N/A</v>
      </c>
      <c r="AA27" t="e">
        <f t="shared" si="15"/>
        <v>#N/A</v>
      </c>
      <c r="AB27" s="1" t="e">
        <f t="shared" si="0"/>
        <v>#N/A</v>
      </c>
      <c r="AF27" s="13" t="e">
        <f t="shared" si="1"/>
        <v>#N/A</v>
      </c>
      <c r="AG27" t="e">
        <f t="shared" si="8"/>
        <v>#N/A</v>
      </c>
      <c r="AH27" t="str">
        <f t="shared" si="16"/>
        <v/>
      </c>
      <c r="AI27" t="e">
        <f t="shared" si="9"/>
        <v>#N/A</v>
      </c>
      <c r="AJ27" s="5" t="e">
        <f t="shared" si="2"/>
        <v>#N/A</v>
      </c>
      <c r="AK27" t="e">
        <f t="shared" si="17"/>
        <v>#N/A</v>
      </c>
    </row>
    <row r="28" spans="1:37" x14ac:dyDescent="0.25">
      <c r="A28" s="3">
        <v>27</v>
      </c>
      <c r="B28" s="17"/>
      <c r="D28" s="30"/>
      <c r="E28" s="25"/>
      <c r="F28" s="2" t="str">
        <f t="shared" si="10"/>
        <v/>
      </c>
      <c r="G28" s="5" t="str">
        <f t="shared" si="3"/>
        <v/>
      </c>
      <c r="I28">
        <f t="shared" si="4"/>
        <v>1.0154639175257731</v>
      </c>
      <c r="J28" t="str">
        <f t="shared" si="5"/>
        <v/>
      </c>
      <c r="K28">
        <f>PRODUCT(J2:J28)</f>
        <v>0.18781725888324877</v>
      </c>
      <c r="N28" s="3" t="e">
        <f t="shared" si="6"/>
        <v>#N/A</v>
      </c>
      <c r="O28" t="e">
        <f t="shared" si="7"/>
        <v>#N/A</v>
      </c>
      <c r="R28" s="12" t="e">
        <f t="shared" si="11"/>
        <v>#N/A</v>
      </c>
      <c r="S28" s="12" t="e">
        <f t="shared" si="12"/>
        <v>#N/A</v>
      </c>
      <c r="V28" t="e">
        <f t="shared" si="13"/>
        <v>#N/A</v>
      </c>
      <c r="W28" t="e">
        <f t="shared" si="14"/>
        <v>#N/A</v>
      </c>
      <c r="AA28" t="e">
        <f t="shared" si="15"/>
        <v>#N/A</v>
      </c>
      <c r="AB28" s="1" t="e">
        <f t="shared" si="0"/>
        <v>#N/A</v>
      </c>
      <c r="AF28" s="13" t="e">
        <f t="shared" si="1"/>
        <v>#N/A</v>
      </c>
      <c r="AG28" t="e">
        <f t="shared" si="8"/>
        <v>#N/A</v>
      </c>
      <c r="AH28" t="str">
        <f t="shared" si="16"/>
        <v/>
      </c>
      <c r="AI28" t="e">
        <f t="shared" si="9"/>
        <v>#N/A</v>
      </c>
      <c r="AJ28" s="5" t="e">
        <f t="shared" si="2"/>
        <v>#N/A</v>
      </c>
      <c r="AK28" t="e">
        <f t="shared" si="17"/>
        <v>#N/A</v>
      </c>
    </row>
    <row r="29" spans="1:37" x14ac:dyDescent="0.25">
      <c r="A29" s="3">
        <v>28</v>
      </c>
      <c r="B29" s="17"/>
      <c r="D29" s="30"/>
      <c r="E29" s="25"/>
      <c r="F29" s="2" t="str">
        <f t="shared" si="10"/>
        <v/>
      </c>
      <c r="G29" s="5" t="str">
        <f t="shared" si="3"/>
        <v/>
      </c>
      <c r="I29">
        <f t="shared" si="4"/>
        <v>1.0154639175257731</v>
      </c>
      <c r="J29" t="str">
        <f t="shared" si="5"/>
        <v/>
      </c>
      <c r="K29">
        <f>PRODUCT(J2:J29)</f>
        <v>0.18781725888324877</v>
      </c>
      <c r="N29" s="3" t="e">
        <f t="shared" si="6"/>
        <v>#N/A</v>
      </c>
      <c r="O29" t="e">
        <f t="shared" si="7"/>
        <v>#N/A</v>
      </c>
      <c r="R29" s="12" t="e">
        <f t="shared" si="11"/>
        <v>#N/A</v>
      </c>
      <c r="S29" s="12" t="e">
        <f t="shared" si="12"/>
        <v>#N/A</v>
      </c>
      <c r="V29" t="e">
        <f t="shared" si="13"/>
        <v>#N/A</v>
      </c>
      <c r="W29" t="e">
        <f t="shared" si="14"/>
        <v>#N/A</v>
      </c>
      <c r="AA29" t="e">
        <f t="shared" si="15"/>
        <v>#N/A</v>
      </c>
      <c r="AB29" s="1" t="e">
        <f t="shared" si="0"/>
        <v>#N/A</v>
      </c>
      <c r="AF29" s="13" t="e">
        <f t="shared" si="1"/>
        <v>#N/A</v>
      </c>
      <c r="AG29" t="e">
        <f t="shared" si="8"/>
        <v>#N/A</v>
      </c>
      <c r="AH29" t="str">
        <f t="shared" si="16"/>
        <v/>
      </c>
      <c r="AI29" t="e">
        <f t="shared" si="9"/>
        <v>#N/A</v>
      </c>
      <c r="AJ29" s="5" t="e">
        <f t="shared" si="2"/>
        <v>#N/A</v>
      </c>
      <c r="AK29" t="e">
        <f t="shared" si="17"/>
        <v>#N/A</v>
      </c>
    </row>
    <row r="30" spans="1:37" x14ac:dyDescent="0.25">
      <c r="A30" s="3">
        <v>29</v>
      </c>
      <c r="B30" s="17"/>
      <c r="D30" s="30"/>
      <c r="E30" s="25"/>
      <c r="F30" s="2" t="str">
        <f t="shared" si="10"/>
        <v/>
      </c>
      <c r="G30" s="5" t="str">
        <f t="shared" si="3"/>
        <v/>
      </c>
      <c r="I30">
        <f t="shared" si="4"/>
        <v>1.0154639175257731</v>
      </c>
      <c r="J30" t="str">
        <f t="shared" si="5"/>
        <v/>
      </c>
      <c r="K30">
        <f>PRODUCT(J2:J30)</f>
        <v>0.18781725888324877</v>
      </c>
      <c r="N30" s="3" t="e">
        <f t="shared" si="6"/>
        <v>#N/A</v>
      </c>
      <c r="O30" t="e">
        <f t="shared" si="7"/>
        <v>#N/A</v>
      </c>
      <c r="R30" s="12" t="e">
        <f t="shared" si="11"/>
        <v>#N/A</v>
      </c>
      <c r="S30" s="12" t="e">
        <f t="shared" si="12"/>
        <v>#N/A</v>
      </c>
      <c r="V30" t="e">
        <f t="shared" si="13"/>
        <v>#N/A</v>
      </c>
      <c r="W30" t="e">
        <f t="shared" si="14"/>
        <v>#N/A</v>
      </c>
      <c r="AA30" t="e">
        <f t="shared" si="15"/>
        <v>#N/A</v>
      </c>
      <c r="AB30" s="1" t="e">
        <f t="shared" si="0"/>
        <v>#N/A</v>
      </c>
      <c r="AF30" s="13" t="e">
        <f t="shared" si="1"/>
        <v>#N/A</v>
      </c>
      <c r="AG30" t="e">
        <f t="shared" si="8"/>
        <v>#N/A</v>
      </c>
      <c r="AH30" t="str">
        <f t="shared" si="16"/>
        <v/>
      </c>
      <c r="AI30" t="e">
        <f t="shared" si="9"/>
        <v>#N/A</v>
      </c>
      <c r="AJ30" s="5" t="e">
        <f t="shared" si="2"/>
        <v>#N/A</v>
      </c>
      <c r="AK30" t="e">
        <f t="shared" si="17"/>
        <v>#N/A</v>
      </c>
    </row>
    <row r="31" spans="1:37" x14ac:dyDescent="0.25">
      <c r="A31" s="3">
        <v>30</v>
      </c>
      <c r="B31" s="17"/>
      <c r="D31" s="30"/>
      <c r="E31" s="25"/>
      <c r="F31" s="2" t="str">
        <f t="shared" si="10"/>
        <v/>
      </c>
      <c r="G31" s="5" t="str">
        <f t="shared" si="3"/>
        <v/>
      </c>
      <c r="I31">
        <f t="shared" si="4"/>
        <v>1.0154639175257731</v>
      </c>
      <c r="J31" t="str">
        <f t="shared" si="5"/>
        <v/>
      </c>
      <c r="K31">
        <f>PRODUCT(J2:J31)</f>
        <v>0.18781725888324877</v>
      </c>
      <c r="N31" s="3" t="e">
        <f t="shared" si="6"/>
        <v>#N/A</v>
      </c>
      <c r="O31" t="e">
        <f t="shared" si="7"/>
        <v>#N/A</v>
      </c>
      <c r="R31" s="12" t="e">
        <f t="shared" si="11"/>
        <v>#N/A</v>
      </c>
      <c r="S31" s="12" t="e">
        <f t="shared" si="12"/>
        <v>#N/A</v>
      </c>
      <c r="V31" t="e">
        <f t="shared" si="13"/>
        <v>#N/A</v>
      </c>
      <c r="W31" t="e">
        <f t="shared" si="14"/>
        <v>#N/A</v>
      </c>
      <c r="AA31" t="e">
        <f t="shared" si="15"/>
        <v>#N/A</v>
      </c>
      <c r="AB31" s="1" t="e">
        <f t="shared" si="0"/>
        <v>#N/A</v>
      </c>
      <c r="AF31" s="13" t="e">
        <f t="shared" si="1"/>
        <v>#N/A</v>
      </c>
      <c r="AG31" t="e">
        <f t="shared" si="8"/>
        <v>#N/A</v>
      </c>
      <c r="AH31" t="str">
        <f t="shared" si="16"/>
        <v/>
      </c>
      <c r="AI31" t="e">
        <f t="shared" si="9"/>
        <v>#N/A</v>
      </c>
      <c r="AJ31" s="5" t="e">
        <f t="shared" si="2"/>
        <v>#N/A</v>
      </c>
      <c r="AK31" t="e">
        <f t="shared" si="17"/>
        <v>#N/A</v>
      </c>
    </row>
    <row r="32" spans="1:37" x14ac:dyDescent="0.25">
      <c r="A32" s="3">
        <v>31</v>
      </c>
      <c r="B32" s="17"/>
      <c r="D32" s="30"/>
      <c r="E32" s="25"/>
      <c r="F32" s="2" t="str">
        <f t="shared" si="10"/>
        <v/>
      </c>
      <c r="G32" s="5" t="str">
        <f t="shared" si="3"/>
        <v/>
      </c>
      <c r="I32">
        <f t="shared" si="4"/>
        <v>1.0154639175257731</v>
      </c>
      <c r="J32" t="str">
        <f t="shared" si="5"/>
        <v/>
      </c>
      <c r="K32">
        <f>PRODUCT(J2:J32)</f>
        <v>0.18781725888324877</v>
      </c>
      <c r="N32" s="3" t="e">
        <f t="shared" si="6"/>
        <v>#N/A</v>
      </c>
      <c r="O32" t="e">
        <f t="shared" si="7"/>
        <v>#N/A</v>
      </c>
      <c r="R32" s="12" t="e">
        <f t="shared" si="11"/>
        <v>#N/A</v>
      </c>
      <c r="S32" s="12" t="e">
        <f t="shared" si="12"/>
        <v>#N/A</v>
      </c>
      <c r="V32" t="e">
        <f t="shared" si="13"/>
        <v>#N/A</v>
      </c>
      <c r="W32" t="e">
        <f t="shared" si="14"/>
        <v>#N/A</v>
      </c>
      <c r="AA32" t="e">
        <f t="shared" si="15"/>
        <v>#N/A</v>
      </c>
      <c r="AB32" s="1" t="e">
        <f t="shared" si="0"/>
        <v>#N/A</v>
      </c>
      <c r="AF32" s="13" t="e">
        <f t="shared" si="1"/>
        <v>#N/A</v>
      </c>
      <c r="AG32" t="e">
        <f t="shared" si="8"/>
        <v>#N/A</v>
      </c>
      <c r="AH32" t="str">
        <f t="shared" si="16"/>
        <v/>
      </c>
      <c r="AI32" t="e">
        <f t="shared" si="9"/>
        <v>#N/A</v>
      </c>
      <c r="AJ32" s="5" t="e">
        <f t="shared" si="2"/>
        <v>#N/A</v>
      </c>
      <c r="AK32" t="e">
        <f t="shared" si="17"/>
        <v>#N/A</v>
      </c>
    </row>
    <row r="33" spans="1:37" x14ac:dyDescent="0.25">
      <c r="A33" s="3">
        <v>32</v>
      </c>
      <c r="B33" s="17"/>
      <c r="D33" s="30"/>
      <c r="E33" s="25"/>
      <c r="F33" s="2" t="str">
        <f t="shared" si="10"/>
        <v/>
      </c>
      <c r="G33" s="5" t="str">
        <f t="shared" si="3"/>
        <v/>
      </c>
      <c r="I33">
        <f t="shared" si="4"/>
        <v>1.0154639175257731</v>
      </c>
      <c r="J33" t="str">
        <f t="shared" si="5"/>
        <v/>
      </c>
      <c r="K33">
        <f>PRODUCT(J2:J33)</f>
        <v>0.18781725888324877</v>
      </c>
      <c r="N33" s="3" t="e">
        <f t="shared" si="6"/>
        <v>#N/A</v>
      </c>
      <c r="O33" t="e">
        <f t="shared" si="7"/>
        <v>#N/A</v>
      </c>
      <c r="R33" s="12" t="e">
        <f t="shared" si="11"/>
        <v>#N/A</v>
      </c>
      <c r="S33" s="12" t="e">
        <f t="shared" si="12"/>
        <v>#N/A</v>
      </c>
      <c r="V33" t="e">
        <f t="shared" si="13"/>
        <v>#N/A</v>
      </c>
      <c r="W33" t="e">
        <f t="shared" si="14"/>
        <v>#N/A</v>
      </c>
      <c r="AA33" t="e">
        <f t="shared" si="15"/>
        <v>#N/A</v>
      </c>
      <c r="AB33" s="1" t="e">
        <f t="shared" si="0"/>
        <v>#N/A</v>
      </c>
      <c r="AF33" s="13" t="e">
        <f t="shared" si="1"/>
        <v>#N/A</v>
      </c>
      <c r="AG33" t="e">
        <f t="shared" si="8"/>
        <v>#N/A</v>
      </c>
      <c r="AH33" t="str">
        <f t="shared" si="16"/>
        <v/>
      </c>
      <c r="AI33" t="e">
        <f t="shared" si="9"/>
        <v>#N/A</v>
      </c>
      <c r="AJ33" s="5" t="e">
        <f t="shared" si="2"/>
        <v>#N/A</v>
      </c>
      <c r="AK33" t="e">
        <f t="shared" si="17"/>
        <v>#N/A</v>
      </c>
    </row>
    <row r="34" spans="1:37" x14ac:dyDescent="0.25">
      <c r="A34" s="3">
        <v>33</v>
      </c>
      <c r="B34" s="17"/>
      <c r="D34" s="30"/>
      <c r="E34" s="22"/>
      <c r="F34" s="2" t="str">
        <f t="shared" si="10"/>
        <v/>
      </c>
      <c r="G34" s="5" t="str">
        <f t="shared" si="3"/>
        <v/>
      </c>
      <c r="H34" s="1"/>
      <c r="I34">
        <f t="shared" si="4"/>
        <v>1.0154639175257731</v>
      </c>
      <c r="J34" t="str">
        <f t="shared" si="5"/>
        <v/>
      </c>
      <c r="K34">
        <f>PRODUCT(J2:J34)</f>
        <v>0.18781725888324877</v>
      </c>
      <c r="N34" s="3" t="e">
        <f t="shared" si="6"/>
        <v>#N/A</v>
      </c>
      <c r="O34" t="e">
        <f t="shared" si="7"/>
        <v>#N/A</v>
      </c>
      <c r="R34" s="12" t="e">
        <f t="shared" si="11"/>
        <v>#N/A</v>
      </c>
      <c r="S34" s="12" t="e">
        <f t="shared" si="12"/>
        <v>#N/A</v>
      </c>
      <c r="V34" t="e">
        <f t="shared" si="13"/>
        <v>#N/A</v>
      </c>
      <c r="W34" t="e">
        <f t="shared" si="14"/>
        <v>#N/A</v>
      </c>
      <c r="AA34" t="e">
        <f t="shared" si="15"/>
        <v>#N/A</v>
      </c>
      <c r="AB34" s="1" t="e">
        <f t="shared" si="0"/>
        <v>#N/A</v>
      </c>
      <c r="AF34" s="13" t="e">
        <f t="shared" si="1"/>
        <v>#N/A</v>
      </c>
      <c r="AG34" t="e">
        <f t="shared" si="8"/>
        <v>#N/A</v>
      </c>
      <c r="AH34" t="str">
        <f t="shared" si="16"/>
        <v/>
      </c>
      <c r="AI34" t="e">
        <f t="shared" si="9"/>
        <v>#N/A</v>
      </c>
      <c r="AJ34" s="5" t="e">
        <f t="shared" si="2"/>
        <v>#N/A</v>
      </c>
      <c r="AK34" t="e">
        <f t="shared" si="17"/>
        <v>#N/A</v>
      </c>
    </row>
    <row r="35" spans="1:37" x14ac:dyDescent="0.25">
      <c r="A35" s="3">
        <v>34</v>
      </c>
      <c r="B35" s="17"/>
      <c r="D35" s="30"/>
      <c r="E35" s="24"/>
      <c r="F35" s="2" t="str">
        <f t="shared" si="10"/>
        <v/>
      </c>
      <c r="G35" s="5" t="str">
        <f t="shared" si="3"/>
        <v/>
      </c>
      <c r="I35">
        <f t="shared" si="4"/>
        <v>1.0154639175257731</v>
      </c>
      <c r="J35" t="str">
        <f t="shared" si="5"/>
        <v/>
      </c>
      <c r="K35">
        <f>PRODUCT(J2:J35)</f>
        <v>0.18781725888324877</v>
      </c>
      <c r="N35" s="3" t="e">
        <f t="shared" si="6"/>
        <v>#N/A</v>
      </c>
      <c r="O35" t="e">
        <f t="shared" si="7"/>
        <v>#N/A</v>
      </c>
      <c r="R35" s="12" t="e">
        <f t="shared" si="11"/>
        <v>#N/A</v>
      </c>
      <c r="S35" s="12" t="e">
        <f t="shared" si="12"/>
        <v>#N/A</v>
      </c>
      <c r="V35" t="e">
        <f t="shared" si="13"/>
        <v>#N/A</v>
      </c>
      <c r="W35" t="e">
        <f t="shared" si="14"/>
        <v>#N/A</v>
      </c>
      <c r="AA35" t="e">
        <f t="shared" si="15"/>
        <v>#N/A</v>
      </c>
      <c r="AB35" s="1" t="e">
        <f t="shared" si="0"/>
        <v>#N/A</v>
      </c>
      <c r="AF35" s="13" t="e">
        <f t="shared" si="1"/>
        <v>#N/A</v>
      </c>
      <c r="AG35" t="e">
        <f t="shared" si="8"/>
        <v>#N/A</v>
      </c>
      <c r="AH35" t="str">
        <f t="shared" si="16"/>
        <v/>
      </c>
      <c r="AI35" t="e">
        <f t="shared" si="9"/>
        <v>#N/A</v>
      </c>
      <c r="AJ35" s="5" t="e">
        <f t="shared" si="2"/>
        <v>#N/A</v>
      </c>
      <c r="AK35" t="e">
        <f t="shared" si="17"/>
        <v>#N/A</v>
      </c>
    </row>
    <row r="36" spans="1:37" x14ac:dyDescent="0.25">
      <c r="A36" s="3">
        <v>35</v>
      </c>
      <c r="B36" s="17"/>
      <c r="D36" s="30"/>
      <c r="E36" s="24"/>
      <c r="F36" s="2" t="str">
        <f t="shared" si="10"/>
        <v/>
      </c>
      <c r="G36" s="5" t="str">
        <f t="shared" si="3"/>
        <v/>
      </c>
      <c r="I36">
        <f t="shared" si="4"/>
        <v>1.0154639175257731</v>
      </c>
      <c r="J36" t="str">
        <f t="shared" si="5"/>
        <v/>
      </c>
      <c r="K36">
        <f>PRODUCT(J2:J36)</f>
        <v>0.18781725888324877</v>
      </c>
      <c r="N36" s="3" t="e">
        <f t="shared" si="6"/>
        <v>#N/A</v>
      </c>
      <c r="O36" t="e">
        <f t="shared" si="7"/>
        <v>#N/A</v>
      </c>
      <c r="R36" s="12" t="e">
        <f t="shared" si="11"/>
        <v>#N/A</v>
      </c>
      <c r="S36" s="12" t="e">
        <f t="shared" si="12"/>
        <v>#N/A</v>
      </c>
      <c r="V36" t="e">
        <f t="shared" si="13"/>
        <v>#N/A</v>
      </c>
      <c r="W36" t="e">
        <f t="shared" si="14"/>
        <v>#N/A</v>
      </c>
      <c r="AA36" t="e">
        <f t="shared" si="15"/>
        <v>#N/A</v>
      </c>
      <c r="AB36" s="1" t="e">
        <f t="shared" si="0"/>
        <v>#N/A</v>
      </c>
      <c r="AF36" s="13" t="e">
        <f t="shared" si="1"/>
        <v>#N/A</v>
      </c>
      <c r="AG36" t="e">
        <f t="shared" si="8"/>
        <v>#N/A</v>
      </c>
      <c r="AH36" t="str">
        <f t="shared" si="16"/>
        <v/>
      </c>
      <c r="AI36" t="e">
        <f t="shared" si="9"/>
        <v>#N/A</v>
      </c>
      <c r="AJ36" s="5" t="e">
        <f t="shared" si="2"/>
        <v>#N/A</v>
      </c>
      <c r="AK36" t="e">
        <f t="shared" si="17"/>
        <v>#N/A</v>
      </c>
    </row>
    <row r="37" spans="1:37" x14ac:dyDescent="0.25">
      <c r="A37" s="3">
        <v>36</v>
      </c>
      <c r="B37" s="17"/>
      <c r="C37" s="26"/>
      <c r="D37" s="30"/>
      <c r="E37" s="24"/>
      <c r="F37" s="2" t="str">
        <f t="shared" si="10"/>
        <v/>
      </c>
      <c r="G37" s="5" t="str">
        <f t="shared" si="3"/>
        <v/>
      </c>
      <c r="I37">
        <f t="shared" si="4"/>
        <v>1.0154639175257731</v>
      </c>
      <c r="J37" t="str">
        <f t="shared" si="5"/>
        <v/>
      </c>
      <c r="K37">
        <f>PRODUCT(J2:J37)</f>
        <v>0.18781725888324877</v>
      </c>
      <c r="N37" s="3" t="e">
        <f t="shared" si="6"/>
        <v>#N/A</v>
      </c>
      <c r="O37" t="e">
        <f t="shared" si="7"/>
        <v>#N/A</v>
      </c>
      <c r="R37" s="12" t="e">
        <f t="shared" si="11"/>
        <v>#N/A</v>
      </c>
      <c r="S37" s="12" t="e">
        <f t="shared" si="12"/>
        <v>#N/A</v>
      </c>
      <c r="V37" t="e">
        <f t="shared" si="13"/>
        <v>#N/A</v>
      </c>
      <c r="W37" t="e">
        <f t="shared" si="14"/>
        <v>#N/A</v>
      </c>
      <c r="AA37" t="e">
        <f t="shared" si="15"/>
        <v>#N/A</v>
      </c>
      <c r="AB37" s="1" t="e">
        <f t="shared" si="0"/>
        <v>#N/A</v>
      </c>
      <c r="AF37" s="13" t="e">
        <f t="shared" si="1"/>
        <v>#N/A</v>
      </c>
      <c r="AG37" t="e">
        <f t="shared" si="8"/>
        <v>#N/A</v>
      </c>
      <c r="AH37" t="str">
        <f t="shared" si="16"/>
        <v/>
      </c>
      <c r="AI37" t="e">
        <f t="shared" si="9"/>
        <v>#N/A</v>
      </c>
      <c r="AJ37" s="5" t="e">
        <f t="shared" si="2"/>
        <v>#N/A</v>
      </c>
      <c r="AK37" t="e">
        <f t="shared" si="17"/>
        <v>#N/A</v>
      </c>
    </row>
    <row r="38" spans="1:37" x14ac:dyDescent="0.25">
      <c r="A38" s="3">
        <v>37</v>
      </c>
      <c r="B38" s="17"/>
      <c r="D38" s="30"/>
      <c r="E38" s="21"/>
      <c r="F38" s="2" t="str">
        <f t="shared" si="10"/>
        <v/>
      </c>
      <c r="G38" s="5" t="str">
        <f t="shared" si="3"/>
        <v/>
      </c>
      <c r="I38">
        <f t="shared" si="4"/>
        <v>1.0154639175257731</v>
      </c>
      <c r="J38" t="str">
        <f t="shared" si="5"/>
        <v/>
      </c>
      <c r="K38">
        <f>PRODUCT(J2:J38)</f>
        <v>0.18781725888324877</v>
      </c>
      <c r="N38" s="3" t="e">
        <f t="shared" si="6"/>
        <v>#N/A</v>
      </c>
      <c r="O38" t="e">
        <f t="shared" si="7"/>
        <v>#N/A</v>
      </c>
      <c r="R38" s="12" t="e">
        <f t="shared" si="11"/>
        <v>#N/A</v>
      </c>
      <c r="S38" s="12" t="e">
        <f t="shared" si="12"/>
        <v>#N/A</v>
      </c>
      <c r="V38" t="e">
        <f t="shared" si="13"/>
        <v>#N/A</v>
      </c>
      <c r="W38" t="e">
        <f t="shared" si="14"/>
        <v>#N/A</v>
      </c>
      <c r="AA38" t="e">
        <f t="shared" si="15"/>
        <v>#N/A</v>
      </c>
      <c r="AB38" s="1" t="e">
        <f t="shared" si="0"/>
        <v>#N/A</v>
      </c>
      <c r="AF38" s="13" t="e">
        <f t="shared" si="1"/>
        <v>#N/A</v>
      </c>
      <c r="AG38" t="e">
        <f t="shared" si="8"/>
        <v>#N/A</v>
      </c>
      <c r="AH38" t="str">
        <f t="shared" si="16"/>
        <v/>
      </c>
      <c r="AI38" t="e">
        <f t="shared" si="9"/>
        <v>#N/A</v>
      </c>
      <c r="AJ38" s="5" t="e">
        <f t="shared" si="2"/>
        <v>#N/A</v>
      </c>
      <c r="AK38" t="e">
        <f t="shared" si="17"/>
        <v>#N/A</v>
      </c>
    </row>
    <row r="39" spans="1:37" x14ac:dyDescent="0.25">
      <c r="A39" s="3">
        <v>38</v>
      </c>
      <c r="B39" s="17"/>
      <c r="D39" s="30"/>
      <c r="E39" s="21"/>
      <c r="F39" s="2" t="str">
        <f t="shared" si="10"/>
        <v/>
      </c>
      <c r="G39" s="5" t="str">
        <f t="shared" si="3"/>
        <v/>
      </c>
      <c r="I39">
        <f t="shared" si="4"/>
        <v>1.0154639175257731</v>
      </c>
      <c r="J39" t="str">
        <f t="shared" si="5"/>
        <v/>
      </c>
      <c r="K39">
        <f>PRODUCT(J2:J39)</f>
        <v>0.18781725888324877</v>
      </c>
      <c r="N39" s="3" t="e">
        <f t="shared" si="6"/>
        <v>#N/A</v>
      </c>
      <c r="O39" t="e">
        <f t="shared" si="7"/>
        <v>#N/A</v>
      </c>
      <c r="R39" s="12" t="e">
        <f t="shared" si="11"/>
        <v>#N/A</v>
      </c>
      <c r="S39" s="12" t="e">
        <f t="shared" si="12"/>
        <v>#N/A</v>
      </c>
      <c r="V39" t="e">
        <f t="shared" si="13"/>
        <v>#N/A</v>
      </c>
      <c r="W39" t="e">
        <f t="shared" si="14"/>
        <v>#N/A</v>
      </c>
      <c r="AA39" t="e">
        <f t="shared" si="15"/>
        <v>#N/A</v>
      </c>
      <c r="AB39" s="1" t="e">
        <f t="shared" si="0"/>
        <v>#N/A</v>
      </c>
      <c r="AF39" s="13" t="e">
        <f t="shared" si="1"/>
        <v>#N/A</v>
      </c>
      <c r="AG39" t="e">
        <f t="shared" si="8"/>
        <v>#N/A</v>
      </c>
      <c r="AH39" t="str">
        <f t="shared" si="16"/>
        <v/>
      </c>
      <c r="AI39" t="e">
        <f t="shared" si="9"/>
        <v>#N/A</v>
      </c>
      <c r="AJ39" s="5" t="e">
        <f t="shared" si="2"/>
        <v>#N/A</v>
      </c>
      <c r="AK39" t="e">
        <f t="shared" si="17"/>
        <v>#N/A</v>
      </c>
    </row>
    <row r="40" spans="1:37" x14ac:dyDescent="0.25">
      <c r="A40" s="3">
        <v>39</v>
      </c>
      <c r="B40" s="17"/>
      <c r="D40" s="30"/>
      <c r="E40" s="24"/>
      <c r="F40" s="2" t="str">
        <f t="shared" si="10"/>
        <v/>
      </c>
      <c r="G40" s="5" t="str">
        <f t="shared" si="3"/>
        <v/>
      </c>
      <c r="I40">
        <f t="shared" si="4"/>
        <v>1.0154639175257731</v>
      </c>
      <c r="J40" t="str">
        <f t="shared" si="5"/>
        <v/>
      </c>
      <c r="K40">
        <f>PRODUCT(J2:J40)</f>
        <v>0.18781725888324877</v>
      </c>
      <c r="N40" s="3" t="e">
        <f t="shared" si="6"/>
        <v>#N/A</v>
      </c>
      <c r="O40" t="e">
        <f t="shared" si="7"/>
        <v>#N/A</v>
      </c>
      <c r="R40" s="12" t="e">
        <f t="shared" si="11"/>
        <v>#N/A</v>
      </c>
      <c r="S40" s="12" t="e">
        <f t="shared" si="12"/>
        <v>#N/A</v>
      </c>
      <c r="V40" t="e">
        <f t="shared" si="13"/>
        <v>#N/A</v>
      </c>
      <c r="W40" t="e">
        <f t="shared" si="14"/>
        <v>#N/A</v>
      </c>
      <c r="AA40" t="e">
        <f t="shared" si="15"/>
        <v>#N/A</v>
      </c>
      <c r="AB40" s="1" t="e">
        <f t="shared" si="0"/>
        <v>#N/A</v>
      </c>
      <c r="AF40" s="13" t="e">
        <f t="shared" si="1"/>
        <v>#N/A</v>
      </c>
      <c r="AG40" t="e">
        <f t="shared" si="8"/>
        <v>#N/A</v>
      </c>
      <c r="AH40" t="str">
        <f t="shared" si="16"/>
        <v/>
      </c>
      <c r="AI40" t="e">
        <f t="shared" si="9"/>
        <v>#N/A</v>
      </c>
      <c r="AJ40" s="5" t="e">
        <f t="shared" si="2"/>
        <v>#N/A</v>
      </c>
      <c r="AK40" t="e">
        <f t="shared" si="17"/>
        <v>#N/A</v>
      </c>
    </row>
    <row r="41" spans="1:37" x14ac:dyDescent="0.25">
      <c r="A41" s="3">
        <v>40</v>
      </c>
      <c r="B41" s="17"/>
      <c r="C41" s="26"/>
      <c r="D41" s="30"/>
      <c r="E41" s="24"/>
      <c r="F41" s="2" t="str">
        <f t="shared" si="10"/>
        <v/>
      </c>
      <c r="G41" s="5" t="str">
        <f t="shared" si="3"/>
        <v/>
      </c>
      <c r="I41">
        <f t="shared" si="4"/>
        <v>1.0154639175257731</v>
      </c>
      <c r="J41" t="str">
        <f t="shared" si="5"/>
        <v/>
      </c>
      <c r="K41">
        <f>PRODUCT(J2:J41)</f>
        <v>0.18781725888324877</v>
      </c>
      <c r="N41" s="3" t="e">
        <f t="shared" si="6"/>
        <v>#N/A</v>
      </c>
      <c r="O41" t="e">
        <f t="shared" si="7"/>
        <v>#N/A</v>
      </c>
      <c r="R41" s="12" t="e">
        <f t="shared" si="11"/>
        <v>#N/A</v>
      </c>
      <c r="S41" s="12" t="e">
        <f t="shared" si="12"/>
        <v>#N/A</v>
      </c>
      <c r="V41" t="e">
        <f t="shared" si="13"/>
        <v>#N/A</v>
      </c>
      <c r="W41" t="e">
        <f t="shared" si="14"/>
        <v>#N/A</v>
      </c>
      <c r="AA41" t="e">
        <f t="shared" si="15"/>
        <v>#N/A</v>
      </c>
      <c r="AB41" s="1" t="e">
        <f t="shared" si="0"/>
        <v>#N/A</v>
      </c>
      <c r="AF41" s="13" t="e">
        <f t="shared" si="1"/>
        <v>#N/A</v>
      </c>
      <c r="AG41" t="e">
        <f t="shared" si="8"/>
        <v>#N/A</v>
      </c>
      <c r="AH41" t="str">
        <f t="shared" si="16"/>
        <v/>
      </c>
      <c r="AI41" t="e">
        <f t="shared" si="9"/>
        <v>#N/A</v>
      </c>
      <c r="AJ41" s="5" t="e">
        <f t="shared" si="2"/>
        <v>#N/A</v>
      </c>
      <c r="AK41" t="e">
        <f t="shared" si="17"/>
        <v>#N/A</v>
      </c>
    </row>
    <row r="42" spans="1:37" x14ac:dyDescent="0.25">
      <c r="A42" s="3">
        <v>41</v>
      </c>
      <c r="B42" s="17"/>
      <c r="D42" s="30"/>
      <c r="E42" s="24"/>
      <c r="F42" s="2" t="str">
        <f t="shared" si="10"/>
        <v/>
      </c>
      <c r="G42" s="5" t="str">
        <f t="shared" si="3"/>
        <v/>
      </c>
      <c r="I42">
        <f t="shared" si="4"/>
        <v>1.0154639175257731</v>
      </c>
      <c r="J42" t="str">
        <f t="shared" si="5"/>
        <v/>
      </c>
      <c r="K42">
        <f>PRODUCT(J2:J42)</f>
        <v>0.18781725888324877</v>
      </c>
      <c r="N42" s="3" t="e">
        <f t="shared" si="6"/>
        <v>#N/A</v>
      </c>
      <c r="O42" t="e">
        <f t="shared" si="7"/>
        <v>#N/A</v>
      </c>
      <c r="R42" s="12" t="e">
        <f t="shared" si="11"/>
        <v>#N/A</v>
      </c>
      <c r="S42" s="12" t="e">
        <f t="shared" si="12"/>
        <v>#N/A</v>
      </c>
      <c r="V42" t="e">
        <f t="shared" si="13"/>
        <v>#N/A</v>
      </c>
      <c r="W42" t="e">
        <f t="shared" si="14"/>
        <v>#N/A</v>
      </c>
      <c r="AA42" t="e">
        <f t="shared" si="15"/>
        <v>#N/A</v>
      </c>
      <c r="AB42" s="1" t="e">
        <f t="shared" si="0"/>
        <v>#N/A</v>
      </c>
      <c r="AF42" s="13" t="e">
        <f t="shared" si="1"/>
        <v>#N/A</v>
      </c>
      <c r="AG42" t="e">
        <f t="shared" si="8"/>
        <v>#N/A</v>
      </c>
      <c r="AH42" t="str">
        <f t="shared" si="16"/>
        <v/>
      </c>
      <c r="AI42" t="e">
        <f t="shared" si="9"/>
        <v>#N/A</v>
      </c>
      <c r="AJ42" s="5" t="e">
        <f t="shared" si="2"/>
        <v>#N/A</v>
      </c>
      <c r="AK42" t="e">
        <f t="shared" si="17"/>
        <v>#N/A</v>
      </c>
    </row>
    <row r="43" spans="1:37" x14ac:dyDescent="0.25">
      <c r="A43" s="3">
        <v>42</v>
      </c>
      <c r="B43" s="17"/>
      <c r="D43" s="30"/>
      <c r="E43" s="21"/>
      <c r="F43" s="2" t="str">
        <f t="shared" si="10"/>
        <v/>
      </c>
      <c r="G43" s="5" t="str">
        <f t="shared" si="3"/>
        <v/>
      </c>
      <c r="I43">
        <f t="shared" si="4"/>
        <v>1.0154639175257731</v>
      </c>
      <c r="J43" t="str">
        <f t="shared" si="5"/>
        <v/>
      </c>
      <c r="K43">
        <f>PRODUCT(J2:J43)</f>
        <v>0.18781725888324877</v>
      </c>
      <c r="N43" s="3" t="e">
        <f t="shared" si="6"/>
        <v>#N/A</v>
      </c>
      <c r="O43" t="e">
        <f t="shared" si="7"/>
        <v>#N/A</v>
      </c>
      <c r="R43" s="12" t="e">
        <f t="shared" si="11"/>
        <v>#N/A</v>
      </c>
      <c r="S43" s="12" t="e">
        <f t="shared" si="12"/>
        <v>#N/A</v>
      </c>
      <c r="V43" t="e">
        <f t="shared" si="13"/>
        <v>#N/A</v>
      </c>
      <c r="W43" t="e">
        <f t="shared" si="14"/>
        <v>#N/A</v>
      </c>
      <c r="AA43" t="e">
        <f t="shared" si="15"/>
        <v>#N/A</v>
      </c>
      <c r="AB43" s="1" t="e">
        <f t="shared" si="0"/>
        <v>#N/A</v>
      </c>
      <c r="AF43" s="13" t="e">
        <f t="shared" si="1"/>
        <v>#N/A</v>
      </c>
      <c r="AG43" t="e">
        <f t="shared" si="8"/>
        <v>#N/A</v>
      </c>
      <c r="AH43" t="str">
        <f t="shared" si="16"/>
        <v/>
      </c>
      <c r="AI43" t="e">
        <f t="shared" si="9"/>
        <v>#N/A</v>
      </c>
      <c r="AJ43" s="5" t="e">
        <f t="shared" si="2"/>
        <v>#N/A</v>
      </c>
      <c r="AK43" t="e">
        <f t="shared" si="17"/>
        <v>#N/A</v>
      </c>
    </row>
    <row r="44" spans="1:37" x14ac:dyDescent="0.25">
      <c r="A44" s="3">
        <v>43</v>
      </c>
      <c r="B44" s="17"/>
      <c r="D44" s="30"/>
      <c r="E44" s="24"/>
      <c r="F44" s="2" t="str">
        <f t="shared" si="10"/>
        <v/>
      </c>
      <c r="G44" s="5" t="str">
        <f t="shared" si="3"/>
        <v/>
      </c>
      <c r="I44">
        <f t="shared" si="4"/>
        <v>1.0154639175257731</v>
      </c>
      <c r="J44" t="str">
        <f t="shared" si="5"/>
        <v/>
      </c>
      <c r="K44">
        <f>PRODUCT(J2:J44)</f>
        <v>0.18781725888324877</v>
      </c>
      <c r="N44" s="3" t="e">
        <f t="shared" si="6"/>
        <v>#N/A</v>
      </c>
      <c r="O44" t="e">
        <f t="shared" si="7"/>
        <v>#N/A</v>
      </c>
      <c r="R44" s="12" t="e">
        <f t="shared" si="11"/>
        <v>#N/A</v>
      </c>
      <c r="S44" s="12" t="e">
        <f t="shared" si="12"/>
        <v>#N/A</v>
      </c>
      <c r="V44" t="e">
        <f t="shared" si="13"/>
        <v>#N/A</v>
      </c>
      <c r="W44" t="e">
        <f t="shared" si="14"/>
        <v>#N/A</v>
      </c>
      <c r="AA44" t="e">
        <f t="shared" si="15"/>
        <v>#N/A</v>
      </c>
      <c r="AB44" s="1" t="e">
        <f t="shared" si="0"/>
        <v>#N/A</v>
      </c>
      <c r="AF44" s="13" t="e">
        <f t="shared" si="1"/>
        <v>#N/A</v>
      </c>
      <c r="AG44" t="e">
        <f t="shared" si="8"/>
        <v>#N/A</v>
      </c>
      <c r="AH44" t="str">
        <f t="shared" si="16"/>
        <v/>
      </c>
      <c r="AI44" t="e">
        <f t="shared" si="9"/>
        <v>#N/A</v>
      </c>
      <c r="AJ44" s="5" t="e">
        <f t="shared" si="2"/>
        <v>#N/A</v>
      </c>
      <c r="AK44" t="e">
        <f t="shared" si="17"/>
        <v>#N/A</v>
      </c>
    </row>
    <row r="45" spans="1:37" x14ac:dyDescent="0.25">
      <c r="A45" s="3">
        <v>44</v>
      </c>
      <c r="B45" s="17"/>
      <c r="D45" s="30"/>
      <c r="E45" s="25"/>
      <c r="F45" s="2" t="str">
        <f t="shared" si="10"/>
        <v/>
      </c>
      <c r="G45" s="5" t="str">
        <f t="shared" si="3"/>
        <v/>
      </c>
      <c r="I45">
        <f t="shared" si="4"/>
        <v>1.0154639175257731</v>
      </c>
      <c r="J45" t="str">
        <f t="shared" si="5"/>
        <v/>
      </c>
      <c r="K45">
        <f>PRODUCT(J2:J45)</f>
        <v>0.18781725888324877</v>
      </c>
      <c r="N45" s="3" t="e">
        <f t="shared" si="6"/>
        <v>#N/A</v>
      </c>
      <c r="O45" t="e">
        <f t="shared" si="7"/>
        <v>#N/A</v>
      </c>
      <c r="R45" s="12" t="e">
        <f t="shared" si="11"/>
        <v>#N/A</v>
      </c>
      <c r="S45" s="12" t="e">
        <f t="shared" si="12"/>
        <v>#N/A</v>
      </c>
      <c r="V45" t="e">
        <f t="shared" si="13"/>
        <v>#N/A</v>
      </c>
      <c r="W45" t="e">
        <f t="shared" si="14"/>
        <v>#N/A</v>
      </c>
      <c r="AA45" t="e">
        <f t="shared" si="15"/>
        <v>#N/A</v>
      </c>
      <c r="AB45" s="1" t="e">
        <f t="shared" si="0"/>
        <v>#N/A</v>
      </c>
      <c r="AF45" s="13" t="e">
        <f t="shared" si="1"/>
        <v>#N/A</v>
      </c>
      <c r="AG45" t="e">
        <f t="shared" si="8"/>
        <v>#N/A</v>
      </c>
      <c r="AH45" t="str">
        <f t="shared" si="16"/>
        <v/>
      </c>
      <c r="AI45" t="e">
        <f t="shared" si="9"/>
        <v>#N/A</v>
      </c>
      <c r="AJ45" s="5" t="e">
        <f t="shared" si="2"/>
        <v>#N/A</v>
      </c>
      <c r="AK45" t="e">
        <f t="shared" si="17"/>
        <v>#N/A</v>
      </c>
    </row>
    <row r="46" spans="1:37" x14ac:dyDescent="0.25">
      <c r="A46" s="3">
        <v>45</v>
      </c>
      <c r="B46" s="17"/>
      <c r="D46" s="30"/>
      <c r="E46" s="21"/>
      <c r="F46" s="2" t="str">
        <f t="shared" si="10"/>
        <v/>
      </c>
      <c r="G46" s="5" t="str">
        <f t="shared" si="3"/>
        <v/>
      </c>
      <c r="I46">
        <f t="shared" si="4"/>
        <v>1.0154639175257731</v>
      </c>
      <c r="J46" t="str">
        <f t="shared" si="5"/>
        <v/>
      </c>
      <c r="K46">
        <f>PRODUCT(J2:J46)</f>
        <v>0.18781725888324877</v>
      </c>
      <c r="N46" s="3" t="e">
        <f t="shared" si="6"/>
        <v>#N/A</v>
      </c>
      <c r="O46" t="e">
        <f t="shared" si="7"/>
        <v>#N/A</v>
      </c>
      <c r="R46" s="12" t="e">
        <f t="shared" si="11"/>
        <v>#N/A</v>
      </c>
      <c r="S46" s="12" t="e">
        <f t="shared" si="12"/>
        <v>#N/A</v>
      </c>
      <c r="V46" t="e">
        <f t="shared" si="13"/>
        <v>#N/A</v>
      </c>
      <c r="W46" t="e">
        <f t="shared" si="14"/>
        <v>#N/A</v>
      </c>
      <c r="AA46" t="e">
        <f t="shared" si="15"/>
        <v>#N/A</v>
      </c>
      <c r="AB46" s="1" t="e">
        <f t="shared" si="0"/>
        <v>#N/A</v>
      </c>
      <c r="AF46" s="13" t="e">
        <f t="shared" si="1"/>
        <v>#N/A</v>
      </c>
      <c r="AG46" t="e">
        <f t="shared" si="8"/>
        <v>#N/A</v>
      </c>
      <c r="AH46" t="str">
        <f t="shared" si="16"/>
        <v/>
      </c>
      <c r="AI46" t="e">
        <f t="shared" si="9"/>
        <v>#N/A</v>
      </c>
      <c r="AJ46" s="5" t="e">
        <f t="shared" si="2"/>
        <v>#N/A</v>
      </c>
      <c r="AK46" t="e">
        <f t="shared" si="17"/>
        <v>#N/A</v>
      </c>
    </row>
    <row r="47" spans="1:37" x14ac:dyDescent="0.25">
      <c r="A47" s="3">
        <v>46</v>
      </c>
      <c r="B47" s="17"/>
      <c r="D47" s="30"/>
      <c r="E47" s="21"/>
      <c r="F47" s="2" t="str">
        <f t="shared" si="10"/>
        <v/>
      </c>
      <c r="G47" s="5" t="str">
        <f t="shared" si="3"/>
        <v/>
      </c>
      <c r="I47">
        <f t="shared" si="4"/>
        <v>1.0154639175257731</v>
      </c>
      <c r="J47" t="str">
        <f t="shared" si="5"/>
        <v/>
      </c>
      <c r="K47">
        <f>PRODUCT(J2:J47)</f>
        <v>0.18781725888324877</v>
      </c>
      <c r="N47" s="3" t="e">
        <f t="shared" si="6"/>
        <v>#N/A</v>
      </c>
      <c r="O47" t="e">
        <f t="shared" si="7"/>
        <v>#N/A</v>
      </c>
      <c r="R47" s="12" t="e">
        <f t="shared" si="11"/>
        <v>#N/A</v>
      </c>
      <c r="S47" s="12" t="e">
        <f t="shared" si="12"/>
        <v>#N/A</v>
      </c>
      <c r="V47" t="e">
        <f t="shared" si="13"/>
        <v>#N/A</v>
      </c>
      <c r="W47" t="e">
        <f t="shared" si="14"/>
        <v>#N/A</v>
      </c>
      <c r="AA47" t="e">
        <f t="shared" si="15"/>
        <v>#N/A</v>
      </c>
      <c r="AB47" s="1" t="e">
        <f t="shared" si="0"/>
        <v>#N/A</v>
      </c>
      <c r="AF47" s="13" t="e">
        <f t="shared" si="1"/>
        <v>#N/A</v>
      </c>
      <c r="AG47" t="e">
        <f t="shared" si="8"/>
        <v>#N/A</v>
      </c>
      <c r="AH47" t="str">
        <f t="shared" si="16"/>
        <v/>
      </c>
      <c r="AI47" t="e">
        <f t="shared" si="9"/>
        <v>#N/A</v>
      </c>
      <c r="AJ47" s="5" t="e">
        <f t="shared" si="2"/>
        <v>#N/A</v>
      </c>
      <c r="AK47" t="e">
        <f t="shared" si="17"/>
        <v>#N/A</v>
      </c>
    </row>
    <row r="48" spans="1:37" x14ac:dyDescent="0.25">
      <c r="A48" s="3">
        <v>47</v>
      </c>
      <c r="B48" s="17"/>
      <c r="D48" s="30"/>
      <c r="E48" s="21"/>
      <c r="F48" s="2" t="str">
        <f t="shared" si="10"/>
        <v/>
      </c>
      <c r="G48" s="5" t="str">
        <f t="shared" si="3"/>
        <v/>
      </c>
      <c r="I48">
        <f t="shared" si="4"/>
        <v>1.0154639175257731</v>
      </c>
      <c r="J48" t="str">
        <f t="shared" si="5"/>
        <v/>
      </c>
      <c r="K48">
        <f>PRODUCT(J2:J48)</f>
        <v>0.18781725888324877</v>
      </c>
      <c r="N48" s="3" t="e">
        <f t="shared" si="6"/>
        <v>#N/A</v>
      </c>
      <c r="O48" t="e">
        <f t="shared" si="7"/>
        <v>#N/A</v>
      </c>
      <c r="R48" s="12" t="e">
        <f t="shared" si="11"/>
        <v>#N/A</v>
      </c>
      <c r="S48" s="12" t="e">
        <f t="shared" si="12"/>
        <v>#N/A</v>
      </c>
      <c r="V48" t="e">
        <f t="shared" si="13"/>
        <v>#N/A</v>
      </c>
      <c r="W48" t="e">
        <f t="shared" si="14"/>
        <v>#N/A</v>
      </c>
      <c r="AA48" t="e">
        <f t="shared" si="15"/>
        <v>#N/A</v>
      </c>
      <c r="AB48" s="1" t="e">
        <f t="shared" si="0"/>
        <v>#N/A</v>
      </c>
      <c r="AF48" s="13" t="e">
        <f t="shared" si="1"/>
        <v>#N/A</v>
      </c>
      <c r="AG48" t="e">
        <f t="shared" si="8"/>
        <v>#N/A</v>
      </c>
      <c r="AH48" t="str">
        <f t="shared" si="16"/>
        <v/>
      </c>
      <c r="AI48" t="e">
        <f t="shared" si="9"/>
        <v>#N/A</v>
      </c>
      <c r="AJ48" s="5" t="e">
        <f t="shared" si="2"/>
        <v>#N/A</v>
      </c>
      <c r="AK48" t="e">
        <f t="shared" si="17"/>
        <v>#N/A</v>
      </c>
    </row>
    <row r="49" spans="1:37" x14ac:dyDescent="0.25">
      <c r="A49" s="3">
        <v>48</v>
      </c>
      <c r="B49" s="17"/>
      <c r="D49" s="30"/>
      <c r="E49" s="21"/>
      <c r="F49" s="2" t="str">
        <f t="shared" si="10"/>
        <v/>
      </c>
      <c r="G49" s="5" t="str">
        <f t="shared" si="3"/>
        <v/>
      </c>
      <c r="I49">
        <f t="shared" si="4"/>
        <v>1.0154639175257731</v>
      </c>
      <c r="J49" t="str">
        <f t="shared" si="5"/>
        <v/>
      </c>
      <c r="K49">
        <f>PRODUCT(J2:J49)</f>
        <v>0.18781725888324877</v>
      </c>
      <c r="N49" s="3" t="e">
        <f t="shared" si="6"/>
        <v>#N/A</v>
      </c>
      <c r="O49" t="e">
        <f t="shared" si="7"/>
        <v>#N/A</v>
      </c>
      <c r="R49" s="12" t="e">
        <f t="shared" si="11"/>
        <v>#N/A</v>
      </c>
      <c r="S49" s="12" t="e">
        <f t="shared" si="12"/>
        <v>#N/A</v>
      </c>
      <c r="V49" t="e">
        <f t="shared" si="13"/>
        <v>#N/A</v>
      </c>
      <c r="W49" t="e">
        <f t="shared" si="14"/>
        <v>#N/A</v>
      </c>
      <c r="AA49" t="e">
        <f t="shared" si="15"/>
        <v>#N/A</v>
      </c>
      <c r="AB49" s="1" t="e">
        <f t="shared" si="0"/>
        <v>#N/A</v>
      </c>
      <c r="AF49" s="13" t="e">
        <f t="shared" si="1"/>
        <v>#N/A</v>
      </c>
      <c r="AG49" t="e">
        <f t="shared" si="8"/>
        <v>#N/A</v>
      </c>
      <c r="AH49" t="str">
        <f t="shared" si="16"/>
        <v/>
      </c>
      <c r="AI49" t="e">
        <f t="shared" si="9"/>
        <v>#N/A</v>
      </c>
      <c r="AJ49" s="5" t="e">
        <f t="shared" si="2"/>
        <v>#N/A</v>
      </c>
      <c r="AK49" t="e">
        <f t="shared" si="17"/>
        <v>#N/A</v>
      </c>
    </row>
    <row r="50" spans="1:37" ht="15.75" thickBot="1" x14ac:dyDescent="0.3">
      <c r="A50" s="3">
        <v>49</v>
      </c>
      <c r="B50" s="18"/>
      <c r="C50" s="34"/>
      <c r="D50" s="57"/>
      <c r="E50" s="21"/>
      <c r="F50" s="2" t="str">
        <f t="shared" si="10"/>
        <v/>
      </c>
      <c r="G50" s="5" t="str">
        <f t="shared" si="3"/>
        <v/>
      </c>
      <c r="I50">
        <f t="shared" si="4"/>
        <v>1.0154639175257731</v>
      </c>
      <c r="J50" t="str">
        <f t="shared" si="5"/>
        <v/>
      </c>
      <c r="K50">
        <f>PRODUCT(J2:J50)</f>
        <v>0.18781725888324877</v>
      </c>
      <c r="N50" s="3" t="e">
        <f t="shared" si="6"/>
        <v>#N/A</v>
      </c>
      <c r="O50" t="e">
        <f t="shared" si="7"/>
        <v>#N/A</v>
      </c>
      <c r="R50" s="12" t="e">
        <f t="shared" si="11"/>
        <v>#N/A</v>
      </c>
      <c r="S50" s="12" t="e">
        <f t="shared" si="12"/>
        <v>#N/A</v>
      </c>
      <c r="V50" t="e">
        <f t="shared" si="13"/>
        <v>#N/A</v>
      </c>
      <c r="W50" t="e">
        <f t="shared" si="14"/>
        <v>#N/A</v>
      </c>
      <c r="AA50" t="e">
        <f t="shared" si="15"/>
        <v>#N/A</v>
      </c>
      <c r="AB50" s="1" t="e">
        <f t="shared" si="0"/>
        <v>#N/A</v>
      </c>
      <c r="AF50" s="13" t="e">
        <f t="shared" si="1"/>
        <v>#N/A</v>
      </c>
      <c r="AG50" t="e">
        <f t="shared" si="8"/>
        <v>#N/A</v>
      </c>
      <c r="AH50" t="str">
        <f t="shared" si="16"/>
        <v/>
      </c>
      <c r="AI50" t="e">
        <f t="shared" si="9"/>
        <v>#N/A</v>
      </c>
      <c r="AJ50" s="5" t="e">
        <f t="shared" si="2"/>
        <v>#N/A</v>
      </c>
      <c r="AK50" t="e">
        <f t="shared" si="17"/>
        <v>#N/A</v>
      </c>
    </row>
    <row r="51" spans="1:37" x14ac:dyDescent="0.25">
      <c r="G51" s="4"/>
      <c r="H51" s="1"/>
    </row>
    <row r="52" spans="1:37" x14ac:dyDescent="0.25">
      <c r="E52" s="27"/>
      <c r="F52" s="6"/>
    </row>
    <row r="53" spans="1:37" x14ac:dyDescent="0.25">
      <c r="E53" s="27"/>
      <c r="F53" s="6"/>
    </row>
    <row r="54" spans="1:37" x14ac:dyDescent="0.25">
      <c r="D54" s="24"/>
      <c r="E54" s="24"/>
      <c r="F54" s="6"/>
    </row>
    <row r="55" spans="1:37" x14ac:dyDescent="0.25">
      <c r="E55" s="27"/>
      <c r="F55" s="3"/>
    </row>
    <row r="56" spans="1:37" x14ac:dyDescent="0.25">
      <c r="E56" s="27"/>
      <c r="F56" s="6"/>
    </row>
    <row r="57" spans="1:37" x14ac:dyDescent="0.25">
      <c r="E57" s="27"/>
      <c r="F57" s="6"/>
    </row>
    <row r="58" spans="1:37" x14ac:dyDescent="0.25">
      <c r="E58" s="27"/>
      <c r="F58" s="6"/>
    </row>
    <row r="59" spans="1:37" x14ac:dyDescent="0.25">
      <c r="E59" s="27"/>
      <c r="F59" s="6"/>
    </row>
    <row r="60" spans="1:37" x14ac:dyDescent="0.25">
      <c r="E60" s="27"/>
      <c r="F60" s="6"/>
    </row>
    <row r="61" spans="1:37" x14ac:dyDescent="0.25">
      <c r="E61" s="27"/>
      <c r="F61" s="6"/>
    </row>
    <row r="62" spans="1:37" x14ac:dyDescent="0.25">
      <c r="E62" s="27"/>
      <c r="F62" s="6"/>
    </row>
    <row r="68" spans="5:8" x14ac:dyDescent="0.25">
      <c r="E68" s="27"/>
      <c r="F68" s="7"/>
    </row>
    <row r="69" spans="5:8" x14ac:dyDescent="0.25">
      <c r="E69" s="27"/>
      <c r="F69" s="8"/>
    </row>
    <row r="70" spans="5:8" x14ac:dyDescent="0.25">
      <c r="E70" s="27"/>
      <c r="F70" s="8"/>
    </row>
    <row r="71" spans="5:8" x14ac:dyDescent="0.25">
      <c r="E71" s="27"/>
      <c r="F71" s="8"/>
    </row>
    <row r="72" spans="5:8" x14ac:dyDescent="0.25">
      <c r="E72" s="27"/>
      <c r="F72" s="8"/>
    </row>
    <row r="73" spans="5:8" x14ac:dyDescent="0.25">
      <c r="E73" s="27"/>
      <c r="F73" s="8"/>
    </row>
    <row r="74" spans="5:8" x14ac:dyDescent="0.25">
      <c r="E74" s="27"/>
      <c r="F74" s="8"/>
    </row>
    <row r="75" spans="5:8" x14ac:dyDescent="0.25">
      <c r="E75" s="27"/>
      <c r="F75" s="8"/>
      <c r="H75" s="1"/>
    </row>
    <row r="76" spans="5:8" x14ac:dyDescent="0.25">
      <c r="E76" s="27"/>
      <c r="F76" s="8"/>
    </row>
    <row r="77" spans="5:8" x14ac:dyDescent="0.25">
      <c r="E77" s="27"/>
      <c r="F77" s="8"/>
    </row>
    <row r="83" spans="5:6" x14ac:dyDescent="0.25">
      <c r="E83" s="27"/>
      <c r="F83" s="8"/>
    </row>
    <row r="84" spans="5:6" x14ac:dyDescent="0.25">
      <c r="E84" s="27"/>
      <c r="F84" s="8"/>
    </row>
    <row r="85" spans="5:6" x14ac:dyDescent="0.25">
      <c r="E85" s="27"/>
      <c r="F85" s="8"/>
    </row>
    <row r="86" spans="5:6" x14ac:dyDescent="0.25">
      <c r="E86" s="27"/>
      <c r="F86" s="8"/>
    </row>
    <row r="87" spans="5:6" x14ac:dyDescent="0.25">
      <c r="E87" s="27"/>
      <c r="F87" s="7"/>
    </row>
    <row r="88" spans="5:6" x14ac:dyDescent="0.25">
      <c r="E88" s="27"/>
      <c r="F88" s="7"/>
    </row>
    <row r="90" spans="5:6" x14ac:dyDescent="0.25">
      <c r="E90" s="27"/>
      <c r="F90" s="8"/>
    </row>
    <row r="92" spans="5:6" x14ac:dyDescent="0.25">
      <c r="E92" s="27"/>
      <c r="F92" s="8"/>
    </row>
    <row r="97" spans="5:8" x14ac:dyDescent="0.25">
      <c r="E97" s="27"/>
      <c r="F97" s="8"/>
    </row>
    <row r="98" spans="5:8" x14ac:dyDescent="0.25">
      <c r="E98" s="27"/>
      <c r="F98" s="8"/>
    </row>
    <row r="99" spans="5:8" x14ac:dyDescent="0.25">
      <c r="E99" s="27"/>
      <c r="F99" s="8"/>
    </row>
    <row r="100" spans="5:8" x14ac:dyDescent="0.25">
      <c r="E100" s="27"/>
      <c r="F100" s="8"/>
    </row>
    <row r="101" spans="5:8" x14ac:dyDescent="0.25">
      <c r="E101" s="27"/>
      <c r="F101" s="8"/>
    </row>
    <row r="102" spans="5:8" x14ac:dyDescent="0.25">
      <c r="E102" s="27"/>
      <c r="F102" s="8"/>
    </row>
    <row r="103" spans="5:8" x14ac:dyDescent="0.25">
      <c r="E103" s="27"/>
      <c r="F103" s="8"/>
    </row>
    <row r="104" spans="5:8" x14ac:dyDescent="0.25">
      <c r="E104" s="27"/>
      <c r="F104" s="8"/>
      <c r="H104" s="1"/>
    </row>
    <row r="105" spans="5:8" x14ac:dyDescent="0.25">
      <c r="E105" s="27"/>
      <c r="F105" s="8"/>
    </row>
    <row r="106" spans="5:8" x14ac:dyDescent="0.25">
      <c r="E106" s="27"/>
      <c r="F106" s="7"/>
    </row>
    <row r="117" spans="5:8" x14ac:dyDescent="0.25">
      <c r="E117" s="27"/>
      <c r="F117" s="8"/>
    </row>
    <row r="118" spans="5:8" x14ac:dyDescent="0.25">
      <c r="E118" s="27"/>
      <c r="F118" s="7"/>
    </row>
    <row r="119" spans="5:8" x14ac:dyDescent="0.25">
      <c r="E119" s="27"/>
      <c r="F119" s="7"/>
    </row>
    <row r="120" spans="5:8" x14ac:dyDescent="0.25">
      <c r="E120" s="27"/>
      <c r="F120" s="8"/>
    </row>
    <row r="121" spans="5:8" x14ac:dyDescent="0.25">
      <c r="E121" s="27"/>
      <c r="F121" s="8"/>
    </row>
    <row r="122" spans="5:8" x14ac:dyDescent="0.25">
      <c r="E122" s="27"/>
      <c r="F122" s="8"/>
    </row>
    <row r="123" spans="5:8" x14ac:dyDescent="0.25">
      <c r="E123" s="27"/>
      <c r="F123" s="8"/>
    </row>
    <row r="124" spans="5:8" x14ac:dyDescent="0.25">
      <c r="E124" s="27"/>
      <c r="F124" s="8"/>
    </row>
    <row r="125" spans="5:8" x14ac:dyDescent="0.25">
      <c r="E125" s="27"/>
      <c r="F125" s="8"/>
      <c r="G125" s="4"/>
      <c r="H125" s="1"/>
    </row>
    <row r="126" spans="5:8" x14ac:dyDescent="0.25">
      <c r="E126" s="27"/>
      <c r="F126" s="8"/>
    </row>
    <row r="127" spans="5:8" x14ac:dyDescent="0.25">
      <c r="E127" s="27"/>
      <c r="F127" s="8"/>
    </row>
    <row r="128" spans="5:8" x14ac:dyDescent="0.25">
      <c r="E128" s="27"/>
      <c r="F128" s="8"/>
    </row>
    <row r="129" spans="5:6" x14ac:dyDescent="0.25">
      <c r="E129" s="27"/>
      <c r="F129" s="6"/>
    </row>
    <row r="130" spans="5:6" x14ac:dyDescent="0.25">
      <c r="E130" s="27"/>
      <c r="F130" s="6"/>
    </row>
    <row r="131" spans="5:6" x14ac:dyDescent="0.25">
      <c r="E131" s="27"/>
      <c r="F131" s="6"/>
    </row>
    <row r="132" spans="5:6" x14ac:dyDescent="0.25">
      <c r="E132" s="27"/>
      <c r="F132" s="6"/>
    </row>
    <row r="133" spans="5:6" x14ac:dyDescent="0.25">
      <c r="E133" s="27"/>
      <c r="F133" s="6"/>
    </row>
    <row r="134" spans="5:6" x14ac:dyDescent="0.25">
      <c r="E134" s="27"/>
      <c r="F134" s="6"/>
    </row>
    <row r="135" spans="5:6" x14ac:dyDescent="0.25">
      <c r="E135" s="27"/>
      <c r="F135" s="6"/>
    </row>
    <row r="136" spans="5:6" x14ac:dyDescent="0.25">
      <c r="E136" s="27"/>
      <c r="F136" s="6"/>
    </row>
    <row r="137" spans="5:6" x14ac:dyDescent="0.25">
      <c r="E137" s="27"/>
      <c r="F137" s="6"/>
    </row>
    <row r="138" spans="5:6" x14ac:dyDescent="0.25">
      <c r="E138" s="27"/>
      <c r="F138" s="6"/>
    </row>
    <row r="139" spans="5:6" x14ac:dyDescent="0.25">
      <c r="E139" s="27"/>
      <c r="F139" s="6"/>
    </row>
    <row r="140" spans="5:6" x14ac:dyDescent="0.25">
      <c r="E140" s="27"/>
      <c r="F140" s="6"/>
    </row>
    <row r="141" spans="5:6" x14ac:dyDescent="0.25">
      <c r="E141" s="27"/>
      <c r="F141" s="6"/>
    </row>
    <row r="142" spans="5:6" x14ac:dyDescent="0.25">
      <c r="E142" s="27"/>
      <c r="F142" s="6"/>
    </row>
    <row r="143" spans="5:6" x14ac:dyDescent="0.25">
      <c r="E143" s="27"/>
      <c r="F143" s="6"/>
    </row>
    <row r="144" spans="5:6" x14ac:dyDescent="0.25">
      <c r="E144" s="27"/>
      <c r="F144" s="6"/>
    </row>
    <row r="145" spans="5:8" x14ac:dyDescent="0.25">
      <c r="E145" s="27"/>
      <c r="F145" s="6"/>
    </row>
    <row r="146" spans="5:8" x14ac:dyDescent="0.25">
      <c r="E146" s="27"/>
      <c r="F146" s="6"/>
      <c r="G146" s="4"/>
      <c r="H146" s="1"/>
    </row>
    <row r="147" spans="5:8" x14ac:dyDescent="0.25">
      <c r="E147" s="27"/>
      <c r="F147" s="6"/>
    </row>
    <row r="148" spans="5:8" x14ac:dyDescent="0.25">
      <c r="E148" s="27"/>
      <c r="F148" s="6"/>
    </row>
    <row r="149" spans="5:8" x14ac:dyDescent="0.25">
      <c r="E149" s="27"/>
      <c r="F149" s="6"/>
    </row>
    <row r="150" spans="5:8" x14ac:dyDescent="0.25">
      <c r="E150" s="27"/>
      <c r="F150" s="6"/>
    </row>
    <row r="151" spans="5:8" x14ac:dyDescent="0.25">
      <c r="E151" s="27"/>
      <c r="F151" s="6"/>
    </row>
    <row r="152" spans="5:8" x14ac:dyDescent="0.25">
      <c r="E152" s="27"/>
      <c r="F152" s="6"/>
    </row>
    <row r="153" spans="5:8" x14ac:dyDescent="0.25">
      <c r="E153" s="27"/>
      <c r="F153" s="6"/>
    </row>
    <row r="154" spans="5:8" x14ac:dyDescent="0.25">
      <c r="E154" s="27"/>
      <c r="F154" s="6"/>
    </row>
    <row r="155" spans="5:8" x14ac:dyDescent="0.25">
      <c r="E155" s="27"/>
      <c r="F155" s="6"/>
    </row>
    <row r="156" spans="5:8" x14ac:dyDescent="0.25">
      <c r="E156" s="27"/>
      <c r="F156" s="6"/>
    </row>
    <row r="157" spans="5:8" x14ac:dyDescent="0.25">
      <c r="E157" s="27"/>
      <c r="F157" s="6"/>
    </row>
    <row r="158" spans="5:8" x14ac:dyDescent="0.25">
      <c r="E158" s="27"/>
      <c r="F158" s="6"/>
    </row>
    <row r="159" spans="5:8" x14ac:dyDescent="0.25">
      <c r="E159" s="27"/>
      <c r="F159" s="6"/>
    </row>
    <row r="160" spans="5:8" x14ac:dyDescent="0.25">
      <c r="E160" s="27"/>
      <c r="F160" s="6"/>
    </row>
    <row r="161" spans="5:8" x14ac:dyDescent="0.25">
      <c r="E161" s="27"/>
      <c r="F161" s="6"/>
    </row>
    <row r="162" spans="5:8" x14ac:dyDescent="0.25">
      <c r="E162" s="27"/>
      <c r="F162" s="6"/>
    </row>
    <row r="163" spans="5:8" x14ac:dyDescent="0.25">
      <c r="E163" s="27"/>
      <c r="F163" s="6"/>
    </row>
    <row r="164" spans="5:8" x14ac:dyDescent="0.25">
      <c r="E164" s="27"/>
      <c r="F164" s="6"/>
    </row>
    <row r="165" spans="5:8" x14ac:dyDescent="0.25">
      <c r="E165" s="27"/>
      <c r="F165" s="6"/>
    </row>
    <row r="166" spans="5:8" x14ac:dyDescent="0.25">
      <c r="E166" s="27"/>
      <c r="F166" s="6"/>
      <c r="G166" s="4"/>
      <c r="H166" s="1"/>
    </row>
    <row r="167" spans="5:8" x14ac:dyDescent="0.25">
      <c r="E167" s="27"/>
      <c r="F167" s="6"/>
    </row>
    <row r="168" spans="5:8" x14ac:dyDescent="0.25">
      <c r="E168" s="27"/>
      <c r="F168" s="6"/>
    </row>
    <row r="169" spans="5:8" x14ac:dyDescent="0.25">
      <c r="E169" s="27"/>
      <c r="F169" s="6"/>
    </row>
    <row r="170" spans="5:8" x14ac:dyDescent="0.25">
      <c r="E170" s="27"/>
      <c r="F170" s="6"/>
    </row>
    <row r="171" spans="5:8" x14ac:dyDescent="0.25">
      <c r="E171" s="27"/>
      <c r="F171" s="6"/>
    </row>
    <row r="172" spans="5:8" x14ac:dyDescent="0.25">
      <c r="E172" s="27"/>
      <c r="F172" s="6"/>
    </row>
    <row r="173" spans="5:8" x14ac:dyDescent="0.25">
      <c r="E173" s="27"/>
      <c r="F173" s="6"/>
    </row>
    <row r="174" spans="5:8" x14ac:dyDescent="0.25">
      <c r="E174" s="27"/>
      <c r="F174" s="6"/>
    </row>
    <row r="175" spans="5:8" x14ac:dyDescent="0.25">
      <c r="E175" s="27"/>
      <c r="F175" s="6"/>
    </row>
    <row r="176" spans="5:8" x14ac:dyDescent="0.25">
      <c r="E176" s="27"/>
      <c r="F176" s="6"/>
    </row>
    <row r="177" spans="5:8" x14ac:dyDescent="0.25">
      <c r="E177" s="27"/>
      <c r="F177" s="6"/>
    </row>
    <row r="178" spans="5:8" x14ac:dyDescent="0.25">
      <c r="E178" s="27"/>
      <c r="F178" s="6"/>
    </row>
    <row r="179" spans="5:8" x14ac:dyDescent="0.25">
      <c r="E179" s="27"/>
      <c r="F179" s="6"/>
    </row>
    <row r="180" spans="5:8" x14ac:dyDescent="0.25">
      <c r="E180" s="27"/>
      <c r="F180" s="6"/>
    </row>
    <row r="181" spans="5:8" x14ac:dyDescent="0.25">
      <c r="E181" s="27"/>
      <c r="F181" s="6"/>
    </row>
    <row r="182" spans="5:8" x14ac:dyDescent="0.25">
      <c r="E182" s="27"/>
      <c r="F182" s="6"/>
    </row>
    <row r="183" spans="5:8" x14ac:dyDescent="0.25">
      <c r="E183" s="27"/>
      <c r="F183" s="6"/>
    </row>
    <row r="184" spans="5:8" x14ac:dyDescent="0.25">
      <c r="E184" s="27"/>
      <c r="F184" s="6"/>
    </row>
    <row r="185" spans="5:8" x14ac:dyDescent="0.25">
      <c r="E185" s="27"/>
      <c r="F185" s="6"/>
      <c r="G185" s="4"/>
      <c r="H185" s="1"/>
    </row>
    <row r="186" spans="5:8" x14ac:dyDescent="0.25">
      <c r="E186" s="27"/>
      <c r="F186" s="6"/>
    </row>
    <row r="187" spans="5:8" x14ac:dyDescent="0.25">
      <c r="E187" s="27"/>
      <c r="F187" s="6"/>
    </row>
    <row r="188" spans="5:8" x14ac:dyDescent="0.25">
      <c r="E188" s="27"/>
      <c r="F188" s="6"/>
    </row>
    <row r="189" spans="5:8" x14ac:dyDescent="0.25">
      <c r="E189" s="27"/>
      <c r="F189" s="6"/>
    </row>
    <row r="190" spans="5:8" x14ac:dyDescent="0.25">
      <c r="E190" s="27"/>
      <c r="F190" s="6"/>
    </row>
    <row r="191" spans="5:8" x14ac:dyDescent="0.25">
      <c r="E191" s="27"/>
      <c r="F191" s="6"/>
    </row>
    <row r="192" spans="5:8" x14ac:dyDescent="0.25">
      <c r="E192" s="27"/>
      <c r="F192" s="6"/>
    </row>
    <row r="193" spans="5:6" x14ac:dyDescent="0.25">
      <c r="E193" s="27"/>
      <c r="F193" s="6"/>
    </row>
    <row r="194" spans="5:6" x14ac:dyDescent="0.25">
      <c r="E194" s="27"/>
      <c r="F194" s="6"/>
    </row>
    <row r="195" spans="5:6" x14ac:dyDescent="0.25">
      <c r="E195" s="27"/>
      <c r="F195" s="6"/>
    </row>
    <row r="196" spans="5:6" x14ac:dyDescent="0.25">
      <c r="E196" s="27"/>
      <c r="F196" s="6"/>
    </row>
    <row r="197" spans="5:6" x14ac:dyDescent="0.25">
      <c r="E197" s="27"/>
      <c r="F197" s="6"/>
    </row>
    <row r="198" spans="5:6" x14ac:dyDescent="0.25">
      <c r="E198" s="27"/>
      <c r="F198" s="6"/>
    </row>
    <row r="199" spans="5:6" x14ac:dyDescent="0.25">
      <c r="E199" s="27"/>
      <c r="F199" s="6"/>
    </row>
    <row r="200" spans="5:6" x14ac:dyDescent="0.25">
      <c r="E200" s="27"/>
      <c r="F200" s="6"/>
    </row>
    <row r="201" spans="5:6" x14ac:dyDescent="0.25">
      <c r="E201" s="27"/>
      <c r="F201" s="6"/>
    </row>
    <row r="202" spans="5:6" x14ac:dyDescent="0.25">
      <c r="E202" s="27"/>
      <c r="F202" s="6"/>
    </row>
    <row r="203" spans="5:6" x14ac:dyDescent="0.25">
      <c r="E203" s="27"/>
      <c r="F203" s="6"/>
    </row>
    <row r="204" spans="5:6" x14ac:dyDescent="0.25">
      <c r="E204" s="27"/>
      <c r="F204" s="6"/>
    </row>
    <row r="205" spans="5:6" x14ac:dyDescent="0.25">
      <c r="E205" s="27"/>
      <c r="F205" s="6"/>
    </row>
    <row r="206" spans="5:6" x14ac:dyDescent="0.25">
      <c r="E206" s="27"/>
      <c r="F206" s="6"/>
    </row>
    <row r="207" spans="5:6" x14ac:dyDescent="0.25">
      <c r="E207" s="27"/>
      <c r="F207" s="6"/>
    </row>
    <row r="208" spans="5:6" x14ac:dyDescent="0.25">
      <c r="E208" s="27"/>
      <c r="F208" s="6"/>
    </row>
    <row r="209" spans="5:6" x14ac:dyDescent="0.25">
      <c r="E209" s="27"/>
      <c r="F209" s="6"/>
    </row>
    <row r="210" spans="5:6" x14ac:dyDescent="0.25">
      <c r="E210" s="27"/>
      <c r="F210" s="6"/>
    </row>
    <row r="211" spans="5:6" x14ac:dyDescent="0.25">
      <c r="E211" s="27"/>
      <c r="F211" s="6"/>
    </row>
    <row r="212" spans="5:6" x14ac:dyDescent="0.25">
      <c r="E212" s="27"/>
      <c r="F212" s="6"/>
    </row>
    <row r="213" spans="5:6" x14ac:dyDescent="0.25">
      <c r="E213" s="27"/>
      <c r="F213" s="6"/>
    </row>
    <row r="214" spans="5:6" x14ac:dyDescent="0.25">
      <c r="E214" s="27"/>
      <c r="F214" s="6"/>
    </row>
    <row r="215" spans="5:6" x14ac:dyDescent="0.25">
      <c r="E215" s="27"/>
      <c r="F215" s="6"/>
    </row>
    <row r="216" spans="5:6" x14ac:dyDescent="0.25">
      <c r="E216" s="27"/>
      <c r="F216" s="6"/>
    </row>
    <row r="217" spans="5:6" x14ac:dyDescent="0.25">
      <c r="E217" s="27"/>
      <c r="F217" s="6"/>
    </row>
    <row r="218" spans="5:6" x14ac:dyDescent="0.25">
      <c r="E218" s="27"/>
      <c r="F218" s="6"/>
    </row>
    <row r="219" spans="5:6" x14ac:dyDescent="0.25">
      <c r="E219" s="27"/>
      <c r="F219" s="6"/>
    </row>
    <row r="220" spans="5:6" x14ac:dyDescent="0.25">
      <c r="E220" s="27"/>
      <c r="F220" s="6"/>
    </row>
    <row r="221" spans="5:6" x14ac:dyDescent="0.25">
      <c r="E221" s="27"/>
      <c r="F221" s="6"/>
    </row>
    <row r="222" spans="5:6" x14ac:dyDescent="0.25">
      <c r="E222" s="27"/>
      <c r="F222" s="6"/>
    </row>
    <row r="223" spans="5:6" x14ac:dyDescent="0.25">
      <c r="E223" s="27"/>
      <c r="F223" s="6"/>
    </row>
    <row r="224" spans="5:6" x14ac:dyDescent="0.25">
      <c r="E224" s="27"/>
      <c r="F224" s="6"/>
    </row>
    <row r="225" spans="5:6" x14ac:dyDescent="0.25">
      <c r="E225" s="27"/>
      <c r="F225" s="6"/>
    </row>
    <row r="226" spans="5:6" x14ac:dyDescent="0.25">
      <c r="E226" s="27"/>
      <c r="F226" s="6"/>
    </row>
    <row r="227" spans="5:6" x14ac:dyDescent="0.25">
      <c r="E227" s="27"/>
      <c r="F227" s="6"/>
    </row>
    <row r="228" spans="5:6" x14ac:dyDescent="0.25">
      <c r="E228" s="27"/>
      <c r="F228" s="6"/>
    </row>
    <row r="229" spans="5:6" x14ac:dyDescent="0.25">
      <c r="E229" s="27"/>
      <c r="F229" s="6"/>
    </row>
    <row r="230" spans="5:6" x14ac:dyDescent="0.25">
      <c r="E230" s="27"/>
      <c r="F230" s="6"/>
    </row>
    <row r="231" spans="5:6" x14ac:dyDescent="0.25">
      <c r="E231" s="27"/>
      <c r="F231" s="6"/>
    </row>
    <row r="232" spans="5:6" x14ac:dyDescent="0.25">
      <c r="E232" s="27"/>
      <c r="F232" s="6"/>
    </row>
    <row r="233" spans="5:6" x14ac:dyDescent="0.25">
      <c r="E233" s="27"/>
      <c r="F233" s="6"/>
    </row>
    <row r="234" spans="5:6" x14ac:dyDescent="0.25">
      <c r="E234" s="27"/>
      <c r="F234" s="6"/>
    </row>
    <row r="235" spans="5:6" x14ac:dyDescent="0.25">
      <c r="E235" s="27"/>
      <c r="F235" s="6"/>
    </row>
    <row r="236" spans="5:6" x14ac:dyDescent="0.25">
      <c r="E236" s="27"/>
      <c r="F236" s="6"/>
    </row>
    <row r="237" spans="5:6" x14ac:dyDescent="0.25">
      <c r="E237" s="27"/>
      <c r="F237" s="6"/>
    </row>
    <row r="238" spans="5:6" x14ac:dyDescent="0.25">
      <c r="E238" s="27"/>
      <c r="F238" s="6"/>
    </row>
    <row r="239" spans="5:6" x14ac:dyDescent="0.25">
      <c r="E239" s="27"/>
      <c r="F239" s="6"/>
    </row>
    <row r="240" spans="5:6" x14ac:dyDescent="0.25">
      <c r="E240" s="27"/>
      <c r="F240" s="6"/>
    </row>
    <row r="241" spans="5:6" x14ac:dyDescent="0.25">
      <c r="E241" s="27"/>
      <c r="F241" s="6"/>
    </row>
    <row r="242" spans="5:6" x14ac:dyDescent="0.25">
      <c r="E242" s="27"/>
      <c r="F242" s="6"/>
    </row>
    <row r="243" spans="5:6" x14ac:dyDescent="0.25">
      <c r="E243" s="27"/>
      <c r="F243" s="6"/>
    </row>
    <row r="244" spans="5:6" x14ac:dyDescent="0.25">
      <c r="E244" s="27"/>
      <c r="F244" s="6"/>
    </row>
    <row r="245" spans="5:6" x14ac:dyDescent="0.25">
      <c r="E245" s="27"/>
      <c r="F245" s="6"/>
    </row>
    <row r="246" spans="5:6" x14ac:dyDescent="0.25">
      <c r="E246" s="27"/>
      <c r="F246" s="6"/>
    </row>
    <row r="247" spans="5:6" x14ac:dyDescent="0.25">
      <c r="E247" s="27"/>
      <c r="F247" s="6"/>
    </row>
    <row r="248" spans="5:6" x14ac:dyDescent="0.25">
      <c r="E248" s="27"/>
      <c r="F248" s="6"/>
    </row>
    <row r="249" spans="5:6" x14ac:dyDescent="0.25">
      <c r="E249" s="27"/>
      <c r="F249" s="6"/>
    </row>
    <row r="250" spans="5:6" x14ac:dyDescent="0.25">
      <c r="E250" s="27"/>
      <c r="F250" s="6"/>
    </row>
    <row r="251" spans="5:6" x14ac:dyDescent="0.25">
      <c r="E251" s="27"/>
      <c r="F251" s="6"/>
    </row>
    <row r="252" spans="5:6" x14ac:dyDescent="0.25">
      <c r="E252" s="27"/>
      <c r="F252" s="6"/>
    </row>
    <row r="253" spans="5:6" x14ac:dyDescent="0.25">
      <c r="E253" s="27"/>
      <c r="F253" s="6"/>
    </row>
    <row r="254" spans="5:6" x14ac:dyDescent="0.25">
      <c r="E254" s="27"/>
      <c r="F254" s="6"/>
    </row>
    <row r="255" spans="5:6" x14ac:dyDescent="0.25">
      <c r="E255" s="27"/>
      <c r="F255" s="6"/>
    </row>
    <row r="256" spans="5:6" x14ac:dyDescent="0.25">
      <c r="E256" s="27"/>
      <c r="F256" s="6"/>
    </row>
    <row r="257" spans="5:6" x14ac:dyDescent="0.25">
      <c r="E257" s="27"/>
      <c r="F257" s="6"/>
    </row>
    <row r="258" spans="5:6" x14ac:dyDescent="0.25">
      <c r="E258" s="27"/>
      <c r="F258" s="6"/>
    </row>
    <row r="259" spans="5:6" x14ac:dyDescent="0.25">
      <c r="E259" s="27"/>
      <c r="F259" s="6"/>
    </row>
    <row r="260" spans="5:6" x14ac:dyDescent="0.25">
      <c r="E260" s="27"/>
      <c r="F260" s="6"/>
    </row>
    <row r="261" spans="5:6" x14ac:dyDescent="0.25">
      <c r="E261" s="27"/>
      <c r="F261" s="6"/>
    </row>
    <row r="262" spans="5:6" x14ac:dyDescent="0.25">
      <c r="E262" s="27"/>
      <c r="F262" s="6"/>
    </row>
    <row r="263" spans="5:6" x14ac:dyDescent="0.25">
      <c r="E263" s="27"/>
      <c r="F263" s="6"/>
    </row>
    <row r="264" spans="5:6" x14ac:dyDescent="0.25">
      <c r="E264" s="27"/>
      <c r="F264" s="6"/>
    </row>
    <row r="265" spans="5:6" x14ac:dyDescent="0.25">
      <c r="E265" s="27"/>
      <c r="F265" s="6"/>
    </row>
    <row r="266" spans="5:6" x14ac:dyDescent="0.25">
      <c r="E266" s="27"/>
      <c r="F266" s="6"/>
    </row>
    <row r="267" spans="5:6" x14ac:dyDescent="0.25">
      <c r="E267" s="27"/>
      <c r="F267" s="6"/>
    </row>
    <row r="268" spans="5:6" x14ac:dyDescent="0.25">
      <c r="E268" s="27"/>
      <c r="F268" s="6"/>
    </row>
    <row r="269" spans="5:6" x14ac:dyDescent="0.25">
      <c r="E269" s="27"/>
      <c r="F269" s="6"/>
    </row>
    <row r="270" spans="5:6" x14ac:dyDescent="0.25">
      <c r="E270" s="27"/>
      <c r="F270" s="6"/>
    </row>
    <row r="271" spans="5:6" x14ac:dyDescent="0.25">
      <c r="E271" s="27"/>
      <c r="F271" s="6"/>
    </row>
  </sheetData>
  <sortState ref="B3:D21">
    <sortCondition ref="D3:D21"/>
  </sortState>
  <conditionalFormatting sqref="E2">
    <cfRule type="cellIs" dxfId="2" priority="1" operator="lessThan">
      <formula>0</formula>
    </cfRule>
    <cfRule type="cellIs" dxfId="1" priority="2" operator="greaterThan">
      <formula>$D$2</formula>
    </cfRule>
    <cfRule type="cellIs" dxfId="0" priority="3" operator="not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9" r:id="rId4" name="Spinner 3">
              <controlPr defaultSize="0" autoPict="0">
                <anchor moveWithCells="1" sizeWithCells="1">
                  <from>
                    <xdr:col>4</xdr:col>
                    <xdr:colOff>533400</xdr:colOff>
                    <xdr:row>2</xdr:row>
                    <xdr:rowOff>19050</xdr:rowOff>
                  </from>
                  <to>
                    <xdr:col>5</xdr:col>
                    <xdr:colOff>9525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1"/>
  <sheetViews>
    <sheetView topLeftCell="G1" zoomScaleNormal="100" workbookViewId="0">
      <selection activeCell="C2" sqref="C2"/>
    </sheetView>
  </sheetViews>
  <sheetFormatPr defaultRowHeight="15" x14ac:dyDescent="0.25"/>
  <cols>
    <col min="1" max="1" width="9.140625" style="3"/>
    <col min="2" max="3" width="9.140625" style="9"/>
    <col min="4" max="6" width="12" style="9" customWidth="1"/>
    <col min="7" max="7" width="12" style="5" customWidth="1"/>
    <col min="8" max="8" width="9.140625" style="5"/>
    <col min="9" max="9" width="13.5703125" customWidth="1"/>
    <col min="13" max="13" width="5.42578125" customWidth="1"/>
    <col min="14" max="14" width="11.85546875" customWidth="1"/>
    <col min="26" max="26" width="12" customWidth="1"/>
    <col min="29" max="29" width="15.28515625" customWidth="1"/>
    <col min="30" max="30" width="16.85546875" bestFit="1" customWidth="1"/>
  </cols>
  <sheetData>
    <row r="1" spans="1:33" s="5" customFormat="1" x14ac:dyDescent="0.25">
      <c r="A1" s="6" t="s">
        <v>0</v>
      </c>
      <c r="B1" s="19" t="s">
        <v>90</v>
      </c>
      <c r="C1" s="28" t="s">
        <v>1</v>
      </c>
      <c r="D1" s="46" t="s">
        <v>2</v>
      </c>
      <c r="E1" s="39" t="s">
        <v>58</v>
      </c>
      <c r="F1" s="20"/>
      <c r="G1" s="4" t="s">
        <v>5</v>
      </c>
      <c r="H1" s="4" t="s">
        <v>22</v>
      </c>
      <c r="I1" s="4" t="s">
        <v>24</v>
      </c>
      <c r="J1" s="5" t="s">
        <v>4</v>
      </c>
      <c r="K1" s="4" t="s">
        <v>3</v>
      </c>
      <c r="L1" s="5" t="s">
        <v>6</v>
      </c>
      <c r="N1" s="5" t="s">
        <v>7</v>
      </c>
      <c r="O1" s="4" t="s">
        <v>2</v>
      </c>
      <c r="P1" s="4" t="s">
        <v>23</v>
      </c>
      <c r="Q1" s="5" t="s">
        <v>61</v>
      </c>
      <c r="R1" s="5" t="s">
        <v>36</v>
      </c>
      <c r="S1" s="5" t="s">
        <v>37</v>
      </c>
      <c r="T1" s="14" t="s">
        <v>62</v>
      </c>
      <c r="U1" s="14" t="s">
        <v>63</v>
      </c>
      <c r="V1" s="14" t="s">
        <v>40</v>
      </c>
      <c r="W1" s="14" t="s">
        <v>41</v>
      </c>
      <c r="X1" s="5" t="s">
        <v>38</v>
      </c>
      <c r="Y1" s="5" t="s">
        <v>39</v>
      </c>
      <c r="Z1" s="5" t="s">
        <v>25</v>
      </c>
      <c r="AA1" s="21"/>
      <c r="AB1" s="22"/>
      <c r="AC1" s="5" t="s">
        <v>79</v>
      </c>
      <c r="AD1" s="4"/>
      <c r="AF1" s="5" t="s">
        <v>50</v>
      </c>
      <c r="AG1" s="5" t="s">
        <v>51</v>
      </c>
    </row>
    <row r="2" spans="1:33" x14ac:dyDescent="0.25">
      <c r="A2" s="3">
        <v>1</v>
      </c>
      <c r="B2" s="17"/>
      <c r="C2" s="9" t="b">
        <v>1</v>
      </c>
      <c r="D2" s="23">
        <v>42</v>
      </c>
      <c r="E2" s="44" t="s">
        <v>34</v>
      </c>
      <c r="F2" s="41">
        <f>-l</f>
        <v>6.6630077698124658E-3</v>
      </c>
      <c r="G2" s="2">
        <f t="shared" ref="G2:G33" si="0">IF(C2,D2,"")</f>
        <v>42</v>
      </c>
      <c r="H2" s="13">
        <f t="shared" ref="H2:H33" si="1">IF(C2,J2*L2,"")</f>
        <v>0.96195652173913038</v>
      </c>
      <c r="I2">
        <f t="shared" ref="I2:I33" si="2">IF(C2,LN(H2),"")</f>
        <v>-3.8786025035156539E-2</v>
      </c>
      <c r="J2">
        <f t="shared" ref="J2:J33" si="3">(COUNT(D$2:D$50)+0.7)/(COUNT(D$2:D$50)+0.4)</f>
        <v>1.0163043478260869</v>
      </c>
      <c r="K2">
        <f t="shared" ref="K2:K33" si="4">IF(C2,(COUNT(D$2:D$50)-A2+0.7)/(COUNT(D$2:D$50)-A2+1.7),"")</f>
        <v>0.946524064171123</v>
      </c>
      <c r="L2">
        <f>PRODUCT(K2)</f>
        <v>0.946524064171123</v>
      </c>
      <c r="O2" s="3">
        <f t="shared" ref="O2:O33" si="5">IF(C2,D2,NA())</f>
        <v>42</v>
      </c>
      <c r="P2">
        <f t="shared" ref="P2:P33" si="6">IF(C2, LN(H2),NA())</f>
        <v>-3.8786025035156539E-2</v>
      </c>
      <c r="Q2">
        <f>LN(0.5)</f>
        <v>-0.69314718055994529</v>
      </c>
      <c r="R2">
        <f t="shared" ref="R2:R33" si="7">IF(C2,l*G2+b+X2,NA())</f>
        <v>0.20992502169687582</v>
      </c>
      <c r="S2">
        <f t="shared" ref="S2:S33" si="8">IF(C2,l*G2+b-X2,NA())</f>
        <v>-0.1876347050859502</v>
      </c>
      <c r="T2">
        <f t="shared" ref="T2:T33" si="9">IF(C2,LN(0.05),NA())</f>
        <v>-2.9957322735539909</v>
      </c>
      <c r="U2">
        <f t="shared" ref="U2:U33" si="10">IF(C2,LN(0.95),NA())</f>
        <v>-5.1293294387550578E-2</v>
      </c>
      <c r="V2">
        <f t="shared" ref="V2:V33" si="11">IF(C2,l*G2+b+Y2,NA())</f>
        <v>8.9134086920933706E-2</v>
      </c>
      <c r="W2">
        <f t="shared" ref="W2:W33" si="12">IF(C2,l*G2+b-Y2,NA())</f>
        <v>-6.6843770310008085E-2</v>
      </c>
      <c r="X2">
        <f t="shared" ref="X2:X33" si="13">IF(C2,t*SYX*SQRT(1+1/n+(G2-XAVG)^2/SSX),"")</f>
        <v>0.19877986339141301</v>
      </c>
      <c r="Y2">
        <f t="shared" ref="Y2:Y33" si="14">IF(C2,t*SYX*SQRT(1/n+(G2-XAVG)^2/SSX),"")</f>
        <v>7.7988928615470896E-2</v>
      </c>
      <c r="Z2" t="s">
        <v>35</v>
      </c>
      <c r="AA2" s="43" t="s">
        <v>57</v>
      </c>
      <c r="AB2" s="9">
        <f>SLOPE(I:I,G:G)</f>
        <v>-6.6630077698124658E-3</v>
      </c>
      <c r="AC2" t="s">
        <v>49</v>
      </c>
      <c r="AD2">
        <f>EXP(AD5+AD7)</f>
        <v>7.6642635426022827E-3</v>
      </c>
      <c r="AF2" t="s">
        <v>52</v>
      </c>
      <c r="AG2">
        <f>COUNT(G:G)/SUM(D:D)</f>
        <v>4.9857549857549857E-3</v>
      </c>
    </row>
    <row r="3" spans="1:33" x14ac:dyDescent="0.25">
      <c r="A3" s="3">
        <v>2</v>
      </c>
      <c r="B3" s="17"/>
      <c r="C3" s="9" t="b">
        <v>1</v>
      </c>
      <c r="D3" s="23">
        <v>72</v>
      </c>
      <c r="E3" s="40" t="s">
        <v>59</v>
      </c>
      <c r="F3" s="32">
        <f>AB3</f>
        <v>43.672691776821466</v>
      </c>
      <c r="G3" s="2">
        <f t="shared" si="0"/>
        <v>72</v>
      </c>
      <c r="H3" s="13">
        <f t="shared" si="1"/>
        <v>0.90760869565217395</v>
      </c>
      <c r="I3">
        <f t="shared" si="2"/>
        <v>-9.6941945192230469E-2</v>
      </c>
      <c r="J3">
        <f t="shared" si="3"/>
        <v>1.0163043478260869</v>
      </c>
      <c r="K3">
        <f t="shared" si="4"/>
        <v>0.94350282485875703</v>
      </c>
      <c r="L3">
        <f>PRODUCT(K2:K3)</f>
        <v>0.89304812834224601</v>
      </c>
      <c r="O3" s="3">
        <f t="shared" si="5"/>
        <v>72</v>
      </c>
      <c r="P3">
        <f t="shared" si="6"/>
        <v>-9.6941945192230469E-2</v>
      </c>
      <c r="Q3">
        <f t="shared" ref="Q3:Q50" si="15">LN(0.5)</f>
        <v>-0.69314718055994529</v>
      </c>
      <c r="R3">
        <f t="shared" si="7"/>
        <v>5.3900629240307141E-3</v>
      </c>
      <c r="S3">
        <f t="shared" si="8"/>
        <v>-0.38288021250185295</v>
      </c>
      <c r="T3">
        <f t="shared" si="9"/>
        <v>-2.9957322735539909</v>
      </c>
      <c r="U3">
        <f t="shared" si="10"/>
        <v>-5.1293294387550578E-2</v>
      </c>
      <c r="V3">
        <f t="shared" si="11"/>
        <v>-0.12349715841219393</v>
      </c>
      <c r="W3">
        <f t="shared" si="12"/>
        <v>-0.25399299116562829</v>
      </c>
      <c r="X3">
        <f t="shared" si="13"/>
        <v>0.19413513771294183</v>
      </c>
      <c r="Y3">
        <f t="shared" si="14"/>
        <v>6.5247916376717188E-2</v>
      </c>
      <c r="Z3" t="s">
        <v>43</v>
      </c>
      <c r="AA3" s="9" t="s">
        <v>42</v>
      </c>
      <c r="AB3" s="9">
        <f>-b/l</f>
        <v>43.672691776821466</v>
      </c>
      <c r="AC3" t="s">
        <v>45</v>
      </c>
      <c r="AD3">
        <f>EXP(AD5-AD7)</f>
        <v>5.7925555787330637E-3</v>
      </c>
      <c r="AF3" t="s">
        <v>53</v>
      </c>
      <c r="AG3">
        <f>COUNT(D:D)/(SUM(D:D)-(COUNT(D:D)*AB3))</f>
        <v>8.9025546487158849E-3</v>
      </c>
    </row>
    <row r="4" spans="1:33" x14ac:dyDescent="0.25">
      <c r="A4" s="3">
        <v>3</v>
      </c>
      <c r="B4" s="17"/>
      <c r="C4" s="9" t="b">
        <v>1</v>
      </c>
      <c r="D4" s="23">
        <v>81</v>
      </c>
      <c r="E4" s="40" t="s">
        <v>60</v>
      </c>
      <c r="F4" s="32">
        <f>(b-Q2)/F2</f>
        <v>147.70186366227676</v>
      </c>
      <c r="G4" s="2">
        <f t="shared" si="0"/>
        <v>81</v>
      </c>
      <c r="H4" s="13">
        <f t="shared" si="1"/>
        <v>0.85326086956521741</v>
      </c>
      <c r="I4">
        <f t="shared" si="2"/>
        <v>-0.15868995226067756</v>
      </c>
      <c r="J4">
        <f t="shared" si="3"/>
        <v>1.0163043478260869</v>
      </c>
      <c r="K4">
        <f t="shared" si="4"/>
        <v>0.94011976047904189</v>
      </c>
      <c r="L4">
        <f>PRODUCT(K2:K4)</f>
        <v>0.83957219251336901</v>
      </c>
      <c r="O4" s="3">
        <f t="shared" si="5"/>
        <v>81</v>
      </c>
      <c r="P4">
        <f t="shared" si="6"/>
        <v>-0.15868995226067756</v>
      </c>
      <c r="Q4">
        <f t="shared" si="15"/>
        <v>-0.69314718055994529</v>
      </c>
      <c r="R4">
        <f t="shared" si="7"/>
        <v>-5.5681033144352382E-2</v>
      </c>
      <c r="S4">
        <f t="shared" si="8"/>
        <v>-0.44174325629009437</v>
      </c>
      <c r="T4">
        <f t="shared" si="9"/>
        <v>-2.9957322735539909</v>
      </c>
      <c r="U4">
        <f t="shared" si="10"/>
        <v>-5.1293294387550578E-2</v>
      </c>
      <c r="V4">
        <f t="shared" si="11"/>
        <v>-0.18682637145924125</v>
      </c>
      <c r="W4">
        <f t="shared" si="12"/>
        <v>-0.31059791797520547</v>
      </c>
      <c r="X4">
        <f t="shared" si="13"/>
        <v>0.19303111157287098</v>
      </c>
      <c r="Y4">
        <f t="shared" si="14"/>
        <v>6.1885773257982099E-2</v>
      </c>
      <c r="Z4" t="s">
        <v>44</v>
      </c>
      <c r="AA4" s="9"/>
      <c r="AB4" s="9"/>
      <c r="AF4" t="s">
        <v>54</v>
      </c>
      <c r="AG4" s="15">
        <f>COUNT(D:D)/(SUM(D:D)-(COUNT(D:D)*MIN(G:G)))</f>
        <v>8.771929824561403E-3</v>
      </c>
    </row>
    <row r="5" spans="1:33" x14ac:dyDescent="0.25">
      <c r="A5" s="3">
        <v>4</v>
      </c>
      <c r="B5" s="17"/>
      <c r="C5" s="9" t="b">
        <v>1</v>
      </c>
      <c r="D5" s="23">
        <v>86</v>
      </c>
      <c r="E5" s="55" t="s">
        <v>14</v>
      </c>
      <c r="F5" s="41">
        <f>n</f>
        <v>14</v>
      </c>
      <c r="G5" s="2">
        <f t="shared" si="0"/>
        <v>86</v>
      </c>
      <c r="H5" s="13">
        <f t="shared" si="1"/>
        <v>0.79891304347826086</v>
      </c>
      <c r="I5">
        <f t="shared" si="2"/>
        <v>-0.22450317083024932</v>
      </c>
      <c r="J5">
        <f t="shared" si="3"/>
        <v>1.0163043478260869</v>
      </c>
      <c r="K5">
        <f t="shared" si="4"/>
        <v>0.93630573248407645</v>
      </c>
      <c r="L5">
        <f>PRODUCT(K2:K5)</f>
        <v>0.78609625668449201</v>
      </c>
      <c r="O5" s="3">
        <f t="shared" si="5"/>
        <v>86</v>
      </c>
      <c r="P5">
        <f t="shared" si="6"/>
        <v>-0.22450317083024932</v>
      </c>
      <c r="Q5">
        <f t="shared" si="15"/>
        <v>-0.69314718055994529</v>
      </c>
      <c r="R5">
        <f t="shared" si="7"/>
        <v>-8.9549952051098558E-2</v>
      </c>
      <c r="S5">
        <f t="shared" si="8"/>
        <v>-0.47450441508147273</v>
      </c>
      <c r="T5">
        <f t="shared" si="9"/>
        <v>-2.9957322735539909</v>
      </c>
      <c r="U5">
        <f t="shared" si="10"/>
        <v>-5.1293294387550578E-2</v>
      </c>
      <c r="V5">
        <f t="shared" si="11"/>
        <v>-0.22189130784778355</v>
      </c>
      <c r="W5">
        <f t="shared" si="12"/>
        <v>-0.34216305928478774</v>
      </c>
      <c r="X5">
        <f t="shared" si="13"/>
        <v>0.19247723151518709</v>
      </c>
      <c r="Y5">
        <f t="shared" si="14"/>
        <v>6.0135875718502096E-2</v>
      </c>
      <c r="Z5" t="s">
        <v>14</v>
      </c>
      <c r="AA5" s="9" t="s">
        <v>31</v>
      </c>
      <c r="AB5" s="9">
        <f>COUNT(G:G)</f>
        <v>14</v>
      </c>
      <c r="AC5" t="s">
        <v>46</v>
      </c>
      <c r="AD5">
        <f>LN(-l)</f>
        <v>-5.0111842792891848</v>
      </c>
      <c r="AG5" s="1"/>
    </row>
    <row r="6" spans="1:33" x14ac:dyDescent="0.25">
      <c r="A6" s="3">
        <v>5</v>
      </c>
      <c r="B6" s="17"/>
      <c r="C6" s="9" t="b">
        <v>1</v>
      </c>
      <c r="D6" s="23">
        <v>88.000000000000014</v>
      </c>
      <c r="E6" s="55" t="s">
        <v>78</v>
      </c>
      <c r="F6" s="29">
        <f>(X2-b)/l</f>
        <v>13.839338693847678</v>
      </c>
      <c r="G6" s="2">
        <f t="shared" si="0"/>
        <v>88.000000000000014</v>
      </c>
      <c r="H6" s="13">
        <f t="shared" si="1"/>
        <v>0.74456521739130432</v>
      </c>
      <c r="I6">
        <f t="shared" si="2"/>
        <v>-0.29495483178086074</v>
      </c>
      <c r="J6">
        <f t="shared" si="3"/>
        <v>1.0163043478260869</v>
      </c>
      <c r="K6">
        <f t="shared" si="4"/>
        <v>0.93197278911564629</v>
      </c>
      <c r="L6">
        <f>PRODUCT(K2:K6)</f>
        <v>0.73262032085561501</v>
      </c>
      <c r="O6" s="3">
        <f t="shared" si="5"/>
        <v>88.000000000000014</v>
      </c>
      <c r="P6">
        <f t="shared" si="6"/>
        <v>-0.29495483178086074</v>
      </c>
      <c r="Q6">
        <f t="shared" si="15"/>
        <v>-0.69314718055994529</v>
      </c>
      <c r="R6">
        <f t="shared" si="7"/>
        <v>-0.10308551347070519</v>
      </c>
      <c r="S6">
        <f t="shared" si="8"/>
        <v>-0.48762088474111631</v>
      </c>
      <c r="T6">
        <f t="shared" si="9"/>
        <v>-2.9957322735539909</v>
      </c>
      <c r="U6">
        <f t="shared" si="10"/>
        <v>-5.1293294387550578E-2</v>
      </c>
      <c r="V6">
        <f t="shared" si="11"/>
        <v>-0.23589143125295822</v>
      </c>
      <c r="W6">
        <f t="shared" si="12"/>
        <v>-0.35481496695886328</v>
      </c>
      <c r="X6">
        <f t="shared" si="13"/>
        <v>0.19226768563520555</v>
      </c>
      <c r="Y6">
        <f t="shared" si="14"/>
        <v>5.946176785295252E-2</v>
      </c>
      <c r="Z6" t="s">
        <v>26</v>
      </c>
      <c r="AA6" t="s">
        <v>26</v>
      </c>
      <c r="AB6" s="9">
        <f>STEYX(H:H,G:G)</f>
        <v>8.3918131675051161E-2</v>
      </c>
      <c r="AC6" t="s">
        <v>47</v>
      </c>
      <c r="AD6">
        <f>SQRT(1/COUNT(G:G))</f>
        <v>0.2672612419124244</v>
      </c>
      <c r="AG6" s="1"/>
    </row>
    <row r="7" spans="1:33" x14ac:dyDescent="0.25">
      <c r="A7" s="3">
        <v>6</v>
      </c>
      <c r="B7" s="17"/>
      <c r="C7" s="9" t="b">
        <v>0</v>
      </c>
      <c r="D7" s="23">
        <v>95.999999999999986</v>
      </c>
      <c r="E7" s="55" t="s">
        <v>77</v>
      </c>
      <c r="F7" s="29">
        <f>(-b-X2)/l</f>
        <v>73.506044859795253</v>
      </c>
      <c r="G7" s="2" t="str">
        <f t="shared" si="0"/>
        <v/>
      </c>
      <c r="H7" s="13" t="str">
        <f t="shared" si="1"/>
        <v/>
      </c>
      <c r="I7" t="str">
        <f t="shared" si="2"/>
        <v/>
      </c>
      <c r="J7">
        <f t="shared" si="3"/>
        <v>1.0163043478260869</v>
      </c>
      <c r="K7" t="str">
        <f t="shared" si="4"/>
        <v/>
      </c>
      <c r="L7">
        <f>PRODUCT(K2:K7)</f>
        <v>0.73262032085561501</v>
      </c>
      <c r="O7" s="3" t="e">
        <f t="shared" si="5"/>
        <v>#N/A</v>
      </c>
      <c r="P7" t="e">
        <f t="shared" si="6"/>
        <v>#N/A</v>
      </c>
      <c r="Q7">
        <f t="shared" si="15"/>
        <v>-0.69314718055994529</v>
      </c>
      <c r="R7" t="e">
        <f t="shared" si="7"/>
        <v>#N/A</v>
      </c>
      <c r="S7" t="e">
        <f t="shared" si="8"/>
        <v>#N/A</v>
      </c>
      <c r="T7" t="e">
        <f t="shared" si="9"/>
        <v>#N/A</v>
      </c>
      <c r="U7" t="e">
        <f t="shared" si="10"/>
        <v>#N/A</v>
      </c>
      <c r="V7" t="e">
        <f t="shared" si="11"/>
        <v>#N/A</v>
      </c>
      <c r="W7" t="e">
        <f t="shared" si="12"/>
        <v>#N/A</v>
      </c>
      <c r="X7" t="str">
        <f t="shared" si="13"/>
        <v/>
      </c>
      <c r="Y7" t="str">
        <f t="shared" si="14"/>
        <v/>
      </c>
      <c r="Z7" t="s">
        <v>27</v>
      </c>
      <c r="AA7" t="s">
        <v>32</v>
      </c>
      <c r="AB7" s="1">
        <f>AVERAGE(G:G)</f>
        <v>145.92857142857142</v>
      </c>
      <c r="AC7" t="s">
        <v>48</v>
      </c>
      <c r="AD7">
        <f>_xlfn.CONFIDENCE.NORM(0.05,AD6,COUNT(G:G))</f>
        <v>0.13999742746714672</v>
      </c>
      <c r="AG7" s="1"/>
    </row>
    <row r="8" spans="1:33" x14ac:dyDescent="0.25">
      <c r="A8" s="3">
        <v>7</v>
      </c>
      <c r="B8" s="17"/>
      <c r="C8" s="9" t="b">
        <v>1</v>
      </c>
      <c r="D8" s="23">
        <v>99</v>
      </c>
      <c r="E8" s="55" t="s">
        <v>71</v>
      </c>
      <c r="F8" s="36">
        <f>(Q2-b-MIN(X:X))/l</f>
        <v>176.10751846171561</v>
      </c>
      <c r="G8" s="2">
        <f t="shared" si="0"/>
        <v>99</v>
      </c>
      <c r="H8" s="13">
        <f t="shared" si="1"/>
        <v>0.68593803491954808</v>
      </c>
      <c r="I8">
        <f t="shared" si="2"/>
        <v>-0.37696798344169591</v>
      </c>
      <c r="J8">
        <f t="shared" si="3"/>
        <v>1.0163043478260869</v>
      </c>
      <c r="K8">
        <f t="shared" si="4"/>
        <v>0.92125984251968507</v>
      </c>
      <c r="L8">
        <f>PRODUCT(K2:K8)</f>
        <v>0.67493368141816501</v>
      </c>
      <c r="O8" s="3">
        <f t="shared" si="5"/>
        <v>99</v>
      </c>
      <c r="P8">
        <f t="shared" si="6"/>
        <v>-0.37696798344169591</v>
      </c>
      <c r="Q8">
        <f t="shared" si="15"/>
        <v>-0.69314718055994529</v>
      </c>
      <c r="R8">
        <f t="shared" si="7"/>
        <v>-0.17740728743241876</v>
      </c>
      <c r="S8">
        <f t="shared" si="8"/>
        <v>-0.55988528171527674</v>
      </c>
      <c r="T8">
        <f t="shared" si="9"/>
        <v>-2.9957322735539909</v>
      </c>
      <c r="U8">
        <f t="shared" si="10"/>
        <v>-5.1293294387550578E-2</v>
      </c>
      <c r="V8">
        <f t="shared" si="11"/>
        <v>-0.31259993835627814</v>
      </c>
      <c r="W8">
        <f t="shared" si="12"/>
        <v>-0.42469263079141734</v>
      </c>
      <c r="X8">
        <f t="shared" si="13"/>
        <v>0.19123899714142897</v>
      </c>
      <c r="Y8">
        <f t="shared" si="14"/>
        <v>5.6046346217569619E-2</v>
      </c>
      <c r="Z8" t="s">
        <v>28</v>
      </c>
      <c r="AA8" t="s">
        <v>28</v>
      </c>
      <c r="AB8">
        <f>DEVSQ(G:G)</f>
        <v>97742.92857142858</v>
      </c>
      <c r="AG8" s="1"/>
    </row>
    <row r="9" spans="1:33" ht="15.75" thickBot="1" x14ac:dyDescent="0.3">
      <c r="A9" s="3">
        <v>8</v>
      </c>
      <c r="B9" s="17"/>
      <c r="C9" s="9" t="b">
        <v>1</v>
      </c>
      <c r="D9" s="23">
        <v>101</v>
      </c>
      <c r="E9" s="42" t="s">
        <v>72</v>
      </c>
      <c r="F9" s="53">
        <f>(Q2-b+MIN(X:X))/l</f>
        <v>119.29620886283793</v>
      </c>
      <c r="G9" s="2">
        <f t="shared" si="0"/>
        <v>101</v>
      </c>
      <c r="H9" s="13">
        <f t="shared" si="1"/>
        <v>0.62731085244779183</v>
      </c>
      <c r="I9">
        <f t="shared" si="2"/>
        <v>-0.46631308377754582</v>
      </c>
      <c r="J9">
        <f t="shared" si="3"/>
        <v>1.0163043478260869</v>
      </c>
      <c r="K9">
        <f t="shared" si="4"/>
        <v>0.9145299145299145</v>
      </c>
      <c r="L9">
        <f>PRODUCT(K2:K9)</f>
        <v>0.61724704198071501</v>
      </c>
      <c r="O9" s="3">
        <f t="shared" si="5"/>
        <v>101</v>
      </c>
      <c r="P9">
        <f t="shared" si="6"/>
        <v>-0.46631308377754582</v>
      </c>
      <c r="Q9">
        <f t="shared" si="15"/>
        <v>-0.69314718055994529</v>
      </c>
      <c r="R9">
        <f t="shared" si="7"/>
        <v>-0.19089766036826269</v>
      </c>
      <c r="S9">
        <f t="shared" si="8"/>
        <v>-0.57304693985868249</v>
      </c>
      <c r="T9">
        <f t="shared" si="9"/>
        <v>-2.9957322735539909</v>
      </c>
      <c r="U9">
        <f t="shared" si="10"/>
        <v>-5.1293294387550578E-2</v>
      </c>
      <c r="V9">
        <f t="shared" si="11"/>
        <v>-0.32648935813630325</v>
      </c>
      <c r="W9">
        <f t="shared" si="12"/>
        <v>-0.43745524209064196</v>
      </c>
      <c r="X9">
        <f t="shared" si="13"/>
        <v>0.19107463974520991</v>
      </c>
      <c r="Y9">
        <f t="shared" si="14"/>
        <v>5.548294197716936E-2</v>
      </c>
      <c r="Z9" t="s">
        <v>29</v>
      </c>
      <c r="AA9" t="s">
        <v>33</v>
      </c>
      <c r="AB9">
        <f>TINV(0.05, COUNT(G:G)-2)</f>
        <v>2.1788128296672284</v>
      </c>
      <c r="AG9" s="1"/>
    </row>
    <row r="10" spans="1:33" x14ac:dyDescent="0.25">
      <c r="A10" s="3">
        <v>9</v>
      </c>
      <c r="B10" s="17"/>
      <c r="C10" s="9" t="b">
        <v>1</v>
      </c>
      <c r="D10" s="29">
        <v>131</v>
      </c>
      <c r="G10" s="2">
        <f t="shared" si="0"/>
        <v>131</v>
      </c>
      <c r="H10" s="13">
        <f t="shared" si="1"/>
        <v>0.56868366997603559</v>
      </c>
      <c r="I10">
        <f t="shared" si="2"/>
        <v>-0.56443093973606917</v>
      </c>
      <c r="J10">
        <f t="shared" si="3"/>
        <v>1.0163043478260869</v>
      </c>
      <c r="K10">
        <f t="shared" si="4"/>
        <v>0.90654205607476634</v>
      </c>
      <c r="L10">
        <f>PRODUCT(K2:K10)</f>
        <v>0.559560402543265</v>
      </c>
      <c r="O10" s="3">
        <f t="shared" si="5"/>
        <v>131</v>
      </c>
      <c r="P10">
        <f t="shared" si="6"/>
        <v>-0.56443093973606917</v>
      </c>
      <c r="Q10">
        <f t="shared" si="15"/>
        <v>-0.69314718055994529</v>
      </c>
      <c r="R10">
        <f t="shared" si="7"/>
        <v>-0.39240191172813177</v>
      </c>
      <c r="S10">
        <f t="shared" si="8"/>
        <v>-0.77132315468756152</v>
      </c>
      <c r="T10">
        <f t="shared" si="9"/>
        <v>-2.9957322735539909</v>
      </c>
      <c r="U10">
        <f t="shared" si="10"/>
        <v>-5.1293294387550578E-2</v>
      </c>
      <c r="V10">
        <f t="shared" si="11"/>
        <v>-0.53222216668865174</v>
      </c>
      <c r="W10">
        <f t="shared" si="12"/>
        <v>-0.63150289972704154</v>
      </c>
      <c r="X10">
        <f t="shared" si="13"/>
        <v>0.1894606214797149</v>
      </c>
      <c r="Y10">
        <f t="shared" si="14"/>
        <v>4.9640366519194928E-2</v>
      </c>
      <c r="AA10" s="9" t="s">
        <v>30</v>
      </c>
      <c r="AB10" s="9">
        <f>INTERCEPT(I:I,G:G)</f>
        <v>0.2909914846375864</v>
      </c>
      <c r="AG10" s="1"/>
    </row>
    <row r="11" spans="1:33" x14ac:dyDescent="0.25">
      <c r="A11" s="3">
        <v>10</v>
      </c>
      <c r="B11" s="17"/>
      <c r="C11" s="9" t="b">
        <v>1</v>
      </c>
      <c r="D11" s="29">
        <v>132</v>
      </c>
      <c r="G11" s="2">
        <f t="shared" si="0"/>
        <v>132</v>
      </c>
      <c r="H11" s="13">
        <f t="shared" si="1"/>
        <v>0.51005648750427934</v>
      </c>
      <c r="I11">
        <f t="shared" si="2"/>
        <v>-0.67323379958486829</v>
      </c>
      <c r="J11">
        <f t="shared" si="3"/>
        <v>1.0163043478260869</v>
      </c>
      <c r="K11">
        <f t="shared" si="4"/>
        <v>0.89690721649484539</v>
      </c>
      <c r="L11">
        <f>PRODUCT(K2:K11)</f>
        <v>0.501873763105815</v>
      </c>
      <c r="O11" s="3">
        <f t="shared" si="5"/>
        <v>132</v>
      </c>
      <c r="P11">
        <f t="shared" si="6"/>
        <v>-0.67323379958486829</v>
      </c>
      <c r="Q11">
        <f t="shared" si="15"/>
        <v>-0.69314718055994529</v>
      </c>
      <c r="R11">
        <f t="shared" si="7"/>
        <v>-0.39909096905522257</v>
      </c>
      <c r="S11">
        <f t="shared" si="8"/>
        <v>-0.77796011290009559</v>
      </c>
      <c r="T11">
        <f t="shared" si="9"/>
        <v>-2.9957322735539909</v>
      </c>
      <c r="U11">
        <f t="shared" si="10"/>
        <v>-5.1293294387550578E-2</v>
      </c>
      <c r="V11">
        <f t="shared" si="11"/>
        <v>-0.53898468979283409</v>
      </c>
      <c r="W11">
        <f t="shared" si="12"/>
        <v>-0.63806639216248406</v>
      </c>
      <c r="X11">
        <f t="shared" si="13"/>
        <v>0.18943457192243654</v>
      </c>
      <c r="Y11">
        <f t="shared" si="14"/>
        <v>4.9540851184824979E-2</v>
      </c>
      <c r="AC11" t="s">
        <v>64</v>
      </c>
      <c r="AG11" s="1"/>
    </row>
    <row r="12" spans="1:33" x14ac:dyDescent="0.25">
      <c r="A12" s="3">
        <v>11</v>
      </c>
      <c r="B12" s="17"/>
      <c r="C12" s="9" t="b">
        <v>0</v>
      </c>
      <c r="D12" s="29">
        <v>143</v>
      </c>
      <c r="G12" s="2" t="str">
        <f t="shared" si="0"/>
        <v/>
      </c>
      <c r="H12" s="13" t="str">
        <f t="shared" si="1"/>
        <v/>
      </c>
      <c r="I12" t="str">
        <f t="shared" si="2"/>
        <v/>
      </c>
      <c r="J12">
        <f t="shared" si="3"/>
        <v>1.0163043478260869</v>
      </c>
      <c r="K12" t="str">
        <f t="shared" si="4"/>
        <v/>
      </c>
      <c r="L12">
        <f>PRODUCT(K2:K12)</f>
        <v>0.501873763105815</v>
      </c>
      <c r="O12" s="3" t="e">
        <f t="shared" si="5"/>
        <v>#N/A</v>
      </c>
      <c r="P12" t="e">
        <f t="shared" si="6"/>
        <v>#N/A</v>
      </c>
      <c r="Q12">
        <f t="shared" si="15"/>
        <v>-0.69314718055994529</v>
      </c>
      <c r="R12" t="e">
        <f t="shared" si="7"/>
        <v>#N/A</v>
      </c>
      <c r="S12" t="e">
        <f t="shared" si="8"/>
        <v>#N/A</v>
      </c>
      <c r="T12" t="e">
        <f t="shared" si="9"/>
        <v>#N/A</v>
      </c>
      <c r="U12" t="e">
        <f t="shared" si="10"/>
        <v>#N/A</v>
      </c>
      <c r="V12" t="e">
        <f t="shared" si="11"/>
        <v>#N/A</v>
      </c>
      <c r="W12" t="e">
        <f t="shared" si="12"/>
        <v>#N/A</v>
      </c>
      <c r="X12" t="str">
        <f t="shared" si="13"/>
        <v/>
      </c>
      <c r="Y12" t="str">
        <f t="shared" si="14"/>
        <v/>
      </c>
      <c r="AC12" t="s">
        <v>55</v>
      </c>
      <c r="AD12">
        <f>-l*(1+1.96/SQRT(COUNT(D:D)))</f>
        <v>9.7411603148727238E-3</v>
      </c>
      <c r="AG12" s="1"/>
    </row>
    <row r="13" spans="1:33" x14ac:dyDescent="0.25">
      <c r="A13" s="3">
        <v>12</v>
      </c>
      <c r="B13" s="17"/>
      <c r="C13" s="9" t="b">
        <v>1</v>
      </c>
      <c r="D13" s="29">
        <v>143</v>
      </c>
      <c r="E13" s="23"/>
      <c r="F13" s="23"/>
      <c r="G13" s="2">
        <f t="shared" si="0"/>
        <v>143</v>
      </c>
      <c r="H13" s="13">
        <f t="shared" si="1"/>
        <v>0.44381538523099634</v>
      </c>
      <c r="I13">
        <f t="shared" si="2"/>
        <v>-0.81234660204758602</v>
      </c>
      <c r="J13">
        <f t="shared" si="3"/>
        <v>1.0163043478260869</v>
      </c>
      <c r="K13">
        <f t="shared" si="4"/>
        <v>0.87012987012987009</v>
      </c>
      <c r="L13">
        <f>PRODUCT(K2:K13)</f>
        <v>0.436695352312852</v>
      </c>
      <c r="O13" s="3">
        <f t="shared" si="5"/>
        <v>143</v>
      </c>
      <c r="P13">
        <f t="shared" si="6"/>
        <v>-0.81234660204758602</v>
      </c>
      <c r="Q13">
        <f t="shared" si="15"/>
        <v>-0.69314718055994529</v>
      </c>
      <c r="R13">
        <f t="shared" si="7"/>
        <v>-0.47255152781032439</v>
      </c>
      <c r="S13">
        <f t="shared" si="8"/>
        <v>-0.85108572508086799</v>
      </c>
      <c r="T13">
        <f t="shared" si="9"/>
        <v>-2.9957322735539909</v>
      </c>
      <c r="U13">
        <f t="shared" si="10"/>
        <v>-5.1293294387550578E-2</v>
      </c>
      <c r="V13">
        <f t="shared" si="11"/>
        <v>-0.61292206703193286</v>
      </c>
      <c r="W13">
        <f t="shared" si="12"/>
        <v>-0.71071518585925952</v>
      </c>
      <c r="X13">
        <f t="shared" si="13"/>
        <v>0.18926709863527183</v>
      </c>
      <c r="Y13">
        <f t="shared" si="14"/>
        <v>4.8896559413663325E-2</v>
      </c>
      <c r="AC13" t="s">
        <v>56</v>
      </c>
      <c r="AD13">
        <f>-l*(1-1.96/SQRT(COUNT(D:D)))</f>
        <v>3.5848552247522069E-3</v>
      </c>
      <c r="AG13" s="1"/>
    </row>
    <row r="14" spans="1:33" x14ac:dyDescent="0.25">
      <c r="A14" s="3">
        <v>13</v>
      </c>
      <c r="B14" s="17"/>
      <c r="C14" s="9" t="b">
        <v>0</v>
      </c>
      <c r="D14" s="29">
        <v>150</v>
      </c>
      <c r="E14" s="23"/>
      <c r="F14" s="23"/>
      <c r="G14" s="2" t="str">
        <f t="shared" si="0"/>
        <v/>
      </c>
      <c r="H14" s="13" t="str">
        <f t="shared" si="1"/>
        <v/>
      </c>
      <c r="I14" t="str">
        <f t="shared" si="2"/>
        <v/>
      </c>
      <c r="J14">
        <f t="shared" si="3"/>
        <v>1.0163043478260869</v>
      </c>
      <c r="K14" t="str">
        <f t="shared" si="4"/>
        <v/>
      </c>
      <c r="L14">
        <f>PRODUCT(K2:K14)</f>
        <v>0.436695352312852</v>
      </c>
      <c r="O14" s="3" t="e">
        <f t="shared" si="5"/>
        <v>#N/A</v>
      </c>
      <c r="P14" t="e">
        <f t="shared" si="6"/>
        <v>#N/A</v>
      </c>
      <c r="Q14">
        <f t="shared" si="15"/>
        <v>-0.69314718055994529</v>
      </c>
      <c r="R14" t="e">
        <f t="shared" si="7"/>
        <v>#N/A</v>
      </c>
      <c r="S14" t="e">
        <f t="shared" si="8"/>
        <v>#N/A</v>
      </c>
      <c r="T14" t="e">
        <f t="shared" si="9"/>
        <v>#N/A</v>
      </c>
      <c r="U14" t="e">
        <f t="shared" si="10"/>
        <v>#N/A</v>
      </c>
      <c r="V14" t="e">
        <f t="shared" si="11"/>
        <v>#N/A</v>
      </c>
      <c r="W14" t="e">
        <f t="shared" si="12"/>
        <v>#N/A</v>
      </c>
      <c r="X14" t="str">
        <f t="shared" si="13"/>
        <v/>
      </c>
      <c r="Y14" t="str">
        <f t="shared" si="14"/>
        <v/>
      </c>
      <c r="AG14" s="1"/>
    </row>
    <row r="15" spans="1:33" x14ac:dyDescent="0.25">
      <c r="A15" s="3">
        <v>14</v>
      </c>
      <c r="B15" s="17"/>
      <c r="C15" s="9" t="b">
        <v>1</v>
      </c>
      <c r="D15" s="29">
        <v>198</v>
      </c>
      <c r="E15" s="23"/>
      <c r="F15" s="23"/>
      <c r="G15" s="2">
        <f t="shared" si="0"/>
        <v>198</v>
      </c>
      <c r="H15" s="13">
        <f t="shared" si="1"/>
        <v>0.36595303694485659</v>
      </c>
      <c r="I15">
        <f t="shared" si="2"/>
        <v>-1.0052502681720776</v>
      </c>
      <c r="J15">
        <f t="shared" si="3"/>
        <v>1.0163043478260869</v>
      </c>
      <c r="K15">
        <f t="shared" si="4"/>
        <v>0.82456140350877194</v>
      </c>
      <c r="L15">
        <f>PRODUCT(K2:K15)</f>
        <v>0.36008213260884286</v>
      </c>
      <c r="O15" s="3">
        <f t="shared" si="5"/>
        <v>198</v>
      </c>
      <c r="P15">
        <f t="shared" si="6"/>
        <v>-1.0052502681720776</v>
      </c>
      <c r="Q15">
        <f t="shared" si="15"/>
        <v>-0.69314718055994529</v>
      </c>
      <c r="R15">
        <f t="shared" si="7"/>
        <v>-0.83659029560290865</v>
      </c>
      <c r="S15">
        <f t="shared" si="8"/>
        <v>-1.219977811967655</v>
      </c>
      <c r="T15">
        <f t="shared" si="9"/>
        <v>-2.9957322735539909</v>
      </c>
      <c r="U15">
        <f t="shared" si="10"/>
        <v>-5.1293294387550578E-2</v>
      </c>
      <c r="V15">
        <f t="shared" si="11"/>
        <v>-0.97070510083576789</v>
      </c>
      <c r="W15">
        <f t="shared" si="12"/>
        <v>-1.0858630067347956</v>
      </c>
      <c r="X15">
        <f t="shared" si="13"/>
        <v>0.19169375818237311</v>
      </c>
      <c r="Y15">
        <f t="shared" si="14"/>
        <v>5.7578952949513929E-2</v>
      </c>
      <c r="AG15" s="1"/>
    </row>
    <row r="16" spans="1:33" x14ac:dyDescent="0.25">
      <c r="A16" s="3">
        <v>15</v>
      </c>
      <c r="B16" s="17"/>
      <c r="C16" s="9" t="b">
        <v>1</v>
      </c>
      <c r="D16" s="29">
        <v>272</v>
      </c>
      <c r="E16" s="23"/>
      <c r="F16" s="23"/>
      <c r="G16" s="2">
        <f t="shared" si="0"/>
        <v>272</v>
      </c>
      <c r="H16" s="13">
        <f t="shared" si="1"/>
        <v>0.28809068865871695</v>
      </c>
      <c r="I16">
        <f t="shared" si="2"/>
        <v>-1.2444799572379117</v>
      </c>
      <c r="J16">
        <f t="shared" si="3"/>
        <v>1.0163043478260869</v>
      </c>
      <c r="K16">
        <f t="shared" si="4"/>
        <v>0.78723404255319152</v>
      </c>
      <c r="L16">
        <f>PRODUCT(K2:K16)</f>
        <v>0.28346891290483378</v>
      </c>
      <c r="O16" s="3">
        <f t="shared" si="5"/>
        <v>272</v>
      </c>
      <c r="P16">
        <f t="shared" si="6"/>
        <v>-1.2444799572379117</v>
      </c>
      <c r="Q16">
        <f t="shared" si="15"/>
        <v>-0.69314718055994529</v>
      </c>
      <c r="R16">
        <f t="shared" si="7"/>
        <v>-1.3182324941113621</v>
      </c>
      <c r="S16">
        <f t="shared" si="8"/>
        <v>-1.7244607633914462</v>
      </c>
      <c r="T16">
        <f t="shared" si="9"/>
        <v>-2.9957322735539909</v>
      </c>
      <c r="U16">
        <f t="shared" si="10"/>
        <v>-5.1293294387550578E-2</v>
      </c>
      <c r="V16">
        <f t="shared" si="11"/>
        <v>-1.4328921738762914</v>
      </c>
      <c r="W16">
        <f t="shared" si="12"/>
        <v>-1.6098010836265169</v>
      </c>
      <c r="X16">
        <f t="shared" si="13"/>
        <v>0.20311413464004213</v>
      </c>
      <c r="Y16">
        <f t="shared" si="14"/>
        <v>8.8454454875112817E-2</v>
      </c>
      <c r="AG16" s="1"/>
    </row>
    <row r="17" spans="1:33" x14ac:dyDescent="0.25">
      <c r="A17" s="3">
        <v>16</v>
      </c>
      <c r="B17" s="17"/>
      <c r="C17" s="9" t="b">
        <v>1</v>
      </c>
      <c r="D17" s="29">
        <v>289</v>
      </c>
      <c r="G17" s="2">
        <f t="shared" si="0"/>
        <v>289</v>
      </c>
      <c r="H17" s="13">
        <f t="shared" si="1"/>
        <v>0.2102283403725772</v>
      </c>
      <c r="I17">
        <f t="shared" si="2"/>
        <v>-1.5595610038778072</v>
      </c>
      <c r="J17">
        <f t="shared" si="3"/>
        <v>1.0163043478260869</v>
      </c>
      <c r="K17">
        <f t="shared" si="4"/>
        <v>0.72972972972972971</v>
      </c>
      <c r="L17">
        <f>PRODUCT(K2:K17)</f>
        <v>0.20685569320082464</v>
      </c>
      <c r="O17" s="3">
        <f t="shared" si="5"/>
        <v>289</v>
      </c>
      <c r="P17">
        <f t="shared" si="6"/>
        <v>-1.5595610038778072</v>
      </c>
      <c r="Q17">
        <f t="shared" si="15"/>
        <v>-0.69314718055994529</v>
      </c>
      <c r="R17">
        <f t="shared" si="7"/>
        <v>-1.4276871144431602</v>
      </c>
      <c r="S17">
        <f t="shared" si="8"/>
        <v>-1.8415484072332726</v>
      </c>
      <c r="T17">
        <f t="shared" si="9"/>
        <v>-2.9957322735539909</v>
      </c>
      <c r="U17">
        <f t="shared" si="10"/>
        <v>-5.1293294387550578E-2</v>
      </c>
      <c r="V17">
        <f t="shared" si="11"/>
        <v>-1.5377202308688929</v>
      </c>
      <c r="W17">
        <f t="shared" si="12"/>
        <v>-1.73151529080754</v>
      </c>
      <c r="X17">
        <f t="shared" si="13"/>
        <v>0.20693064639505618</v>
      </c>
      <c r="Y17">
        <f t="shared" si="14"/>
        <v>9.6897529969323645E-2</v>
      </c>
      <c r="AG17" s="1"/>
    </row>
    <row r="18" spans="1:33" x14ac:dyDescent="0.25">
      <c r="A18" s="3">
        <v>17</v>
      </c>
      <c r="B18" s="17"/>
      <c r="C18" s="9" t="b">
        <v>1</v>
      </c>
      <c r="D18" s="29">
        <v>309</v>
      </c>
      <c r="G18" s="2">
        <f t="shared" si="0"/>
        <v>309</v>
      </c>
      <c r="H18" s="13">
        <f t="shared" si="1"/>
        <v>0.13236599208643748</v>
      </c>
      <c r="I18">
        <f t="shared" si="2"/>
        <v>-2.0221845258259203</v>
      </c>
      <c r="J18">
        <f t="shared" si="3"/>
        <v>1.0163043478260869</v>
      </c>
      <c r="K18">
        <f t="shared" si="4"/>
        <v>0.62962962962962954</v>
      </c>
      <c r="L18">
        <f>PRODUCT(K2:K18)</f>
        <v>0.1302424734968155</v>
      </c>
      <c r="O18" s="3">
        <f t="shared" si="5"/>
        <v>309</v>
      </c>
      <c r="P18">
        <f t="shared" si="6"/>
        <v>-2.0221845258259203</v>
      </c>
      <c r="Q18">
        <f t="shared" si="15"/>
        <v>-0.69314718055994529</v>
      </c>
      <c r="R18">
        <f t="shared" si="7"/>
        <v>-1.5559474972999126</v>
      </c>
      <c r="S18">
        <f t="shared" si="8"/>
        <v>-1.9798083351690186</v>
      </c>
      <c r="T18">
        <f t="shared" si="9"/>
        <v>-2.9957322735539909</v>
      </c>
      <c r="U18">
        <f t="shared" si="10"/>
        <v>-5.1293294387550578E-2</v>
      </c>
      <c r="V18">
        <f t="shared" si="11"/>
        <v>-1.6607175627148201</v>
      </c>
      <c r="W18">
        <f t="shared" si="12"/>
        <v>-1.875038269754111</v>
      </c>
      <c r="X18">
        <f t="shared" si="13"/>
        <v>0.21193041893455311</v>
      </c>
      <c r="Y18">
        <f t="shared" si="14"/>
        <v>0.10716035351964545</v>
      </c>
      <c r="AG18" s="1"/>
    </row>
    <row r="19" spans="1:33" x14ac:dyDescent="0.25">
      <c r="A19" s="3">
        <v>18</v>
      </c>
      <c r="B19" s="17"/>
      <c r="C19" s="9" t="b">
        <v>0</v>
      </c>
      <c r="D19" s="29">
        <v>376</v>
      </c>
      <c r="G19" s="2" t="str">
        <f t="shared" si="0"/>
        <v/>
      </c>
      <c r="H19" s="13" t="str">
        <f t="shared" si="1"/>
        <v/>
      </c>
      <c r="I19" t="str">
        <f t="shared" si="2"/>
        <v/>
      </c>
      <c r="J19">
        <f t="shared" si="3"/>
        <v>1.0163043478260869</v>
      </c>
      <c r="K19" t="str">
        <f t="shared" si="4"/>
        <v/>
      </c>
      <c r="L19">
        <f>PRODUCT(K2:K19)</f>
        <v>0.1302424734968155</v>
      </c>
      <c r="O19" s="3" t="e">
        <f t="shared" si="5"/>
        <v>#N/A</v>
      </c>
      <c r="P19" t="e">
        <f t="shared" si="6"/>
        <v>#N/A</v>
      </c>
      <c r="Q19">
        <f t="shared" si="15"/>
        <v>-0.69314718055994529</v>
      </c>
      <c r="R19" t="e">
        <f t="shared" si="7"/>
        <v>#N/A</v>
      </c>
      <c r="S19" t="e">
        <f t="shared" si="8"/>
        <v>#N/A</v>
      </c>
      <c r="T19" t="e">
        <f t="shared" si="9"/>
        <v>#N/A</v>
      </c>
      <c r="U19" t="e">
        <f t="shared" si="10"/>
        <v>#N/A</v>
      </c>
      <c r="V19" t="e">
        <f t="shared" si="11"/>
        <v>#N/A</v>
      </c>
      <c r="W19" t="e">
        <f t="shared" si="12"/>
        <v>#N/A</v>
      </c>
      <c r="X19" t="str">
        <f t="shared" si="13"/>
        <v/>
      </c>
      <c r="Y19" t="str">
        <f t="shared" si="14"/>
        <v/>
      </c>
      <c r="AG19" s="1"/>
    </row>
    <row r="20" spans="1:33" x14ac:dyDescent="0.25">
      <c r="A20" s="3">
        <v>19</v>
      </c>
      <c r="B20" s="17"/>
      <c r="D20" s="54"/>
      <c r="E20" s="24"/>
      <c r="F20" s="24"/>
      <c r="G20" s="2" t="str">
        <f t="shared" si="0"/>
        <v/>
      </c>
      <c r="H20" s="13" t="str">
        <f t="shared" si="1"/>
        <v/>
      </c>
      <c r="I20" t="str">
        <f t="shared" si="2"/>
        <v/>
      </c>
      <c r="J20">
        <f t="shared" si="3"/>
        <v>1.0163043478260869</v>
      </c>
      <c r="K20" t="str">
        <f t="shared" si="4"/>
        <v/>
      </c>
      <c r="L20">
        <f>PRODUCT(K2:K20)</f>
        <v>0.1302424734968155</v>
      </c>
      <c r="O20" s="3" t="e">
        <f t="shared" si="5"/>
        <v>#N/A</v>
      </c>
      <c r="P20" t="e">
        <f t="shared" si="6"/>
        <v>#N/A</v>
      </c>
      <c r="Q20">
        <f t="shared" si="15"/>
        <v>-0.69314718055994529</v>
      </c>
      <c r="R20" t="e">
        <f t="shared" si="7"/>
        <v>#N/A</v>
      </c>
      <c r="S20" t="e">
        <f t="shared" si="8"/>
        <v>#N/A</v>
      </c>
      <c r="T20" t="e">
        <f t="shared" si="9"/>
        <v>#N/A</v>
      </c>
      <c r="U20" t="e">
        <f t="shared" si="10"/>
        <v>#N/A</v>
      </c>
      <c r="V20" t="e">
        <f t="shared" si="11"/>
        <v>#N/A</v>
      </c>
      <c r="W20" t="e">
        <f t="shared" si="12"/>
        <v>#N/A</v>
      </c>
      <c r="X20" t="str">
        <f t="shared" si="13"/>
        <v/>
      </c>
      <c r="Y20" t="str">
        <f t="shared" si="14"/>
        <v/>
      </c>
      <c r="AG20" s="1"/>
    </row>
    <row r="21" spans="1:33" x14ac:dyDescent="0.25">
      <c r="A21" s="3">
        <v>20</v>
      </c>
      <c r="B21" s="17"/>
      <c r="D21" s="31"/>
      <c r="E21" s="25"/>
      <c r="F21" s="25"/>
      <c r="G21" s="2" t="str">
        <f t="shared" si="0"/>
        <v/>
      </c>
      <c r="H21" s="13" t="str">
        <f t="shared" si="1"/>
        <v/>
      </c>
      <c r="I21" t="str">
        <f t="shared" si="2"/>
        <v/>
      </c>
      <c r="J21">
        <f t="shared" si="3"/>
        <v>1.0163043478260869</v>
      </c>
      <c r="K21" t="str">
        <f t="shared" si="4"/>
        <v/>
      </c>
      <c r="L21">
        <f>PRODUCT(K2:K21)</f>
        <v>0.1302424734968155</v>
      </c>
      <c r="O21" s="3" t="e">
        <f t="shared" si="5"/>
        <v>#N/A</v>
      </c>
      <c r="P21" t="e">
        <f t="shared" si="6"/>
        <v>#N/A</v>
      </c>
      <c r="Q21">
        <f t="shared" si="15"/>
        <v>-0.69314718055994529</v>
      </c>
      <c r="R21" t="e">
        <f t="shared" si="7"/>
        <v>#N/A</v>
      </c>
      <c r="S21" t="e">
        <f t="shared" si="8"/>
        <v>#N/A</v>
      </c>
      <c r="T21" t="e">
        <f t="shared" si="9"/>
        <v>#N/A</v>
      </c>
      <c r="U21" t="e">
        <f t="shared" si="10"/>
        <v>#N/A</v>
      </c>
      <c r="V21" t="e">
        <f t="shared" si="11"/>
        <v>#N/A</v>
      </c>
      <c r="W21" t="e">
        <f t="shared" si="12"/>
        <v>#N/A</v>
      </c>
      <c r="X21" t="str">
        <f t="shared" si="13"/>
        <v/>
      </c>
      <c r="Y21" t="str">
        <f t="shared" si="14"/>
        <v/>
      </c>
      <c r="AG21" s="1"/>
    </row>
    <row r="22" spans="1:33" x14ac:dyDescent="0.25">
      <c r="A22" s="3">
        <v>21</v>
      </c>
      <c r="B22" s="17"/>
      <c r="D22" s="31"/>
      <c r="E22" s="25"/>
      <c r="F22" s="25"/>
      <c r="G22" s="2" t="str">
        <f t="shared" si="0"/>
        <v/>
      </c>
      <c r="H22" s="13" t="str">
        <f t="shared" si="1"/>
        <v/>
      </c>
      <c r="I22" t="str">
        <f t="shared" si="2"/>
        <v/>
      </c>
      <c r="J22">
        <f t="shared" si="3"/>
        <v>1.0163043478260869</v>
      </c>
      <c r="K22" t="str">
        <f t="shared" si="4"/>
        <v/>
      </c>
      <c r="L22">
        <f>PRODUCT(K2:K22)</f>
        <v>0.1302424734968155</v>
      </c>
      <c r="O22" s="3" t="e">
        <f t="shared" si="5"/>
        <v>#N/A</v>
      </c>
      <c r="P22" t="e">
        <f t="shared" si="6"/>
        <v>#N/A</v>
      </c>
      <c r="Q22">
        <f t="shared" si="15"/>
        <v>-0.69314718055994529</v>
      </c>
      <c r="R22" t="e">
        <f t="shared" si="7"/>
        <v>#N/A</v>
      </c>
      <c r="S22" t="e">
        <f t="shared" si="8"/>
        <v>#N/A</v>
      </c>
      <c r="T22" t="e">
        <f t="shared" si="9"/>
        <v>#N/A</v>
      </c>
      <c r="U22" t="e">
        <f t="shared" si="10"/>
        <v>#N/A</v>
      </c>
      <c r="V22" t="e">
        <f t="shared" si="11"/>
        <v>#N/A</v>
      </c>
      <c r="W22" t="e">
        <f t="shared" si="12"/>
        <v>#N/A</v>
      </c>
      <c r="X22" t="str">
        <f t="shared" si="13"/>
        <v/>
      </c>
      <c r="Y22" t="str">
        <f t="shared" si="14"/>
        <v/>
      </c>
      <c r="AG22" s="1"/>
    </row>
    <row r="23" spans="1:33" x14ac:dyDescent="0.25">
      <c r="A23" s="3">
        <v>22</v>
      </c>
      <c r="B23" s="17"/>
      <c r="D23" s="31"/>
      <c r="E23" s="25"/>
      <c r="F23" s="25"/>
      <c r="G23" s="2" t="str">
        <f t="shared" si="0"/>
        <v/>
      </c>
      <c r="H23" s="13" t="str">
        <f t="shared" si="1"/>
        <v/>
      </c>
      <c r="I23" t="str">
        <f t="shared" si="2"/>
        <v/>
      </c>
      <c r="J23">
        <f t="shared" si="3"/>
        <v>1.0163043478260869</v>
      </c>
      <c r="K23" t="str">
        <f t="shared" si="4"/>
        <v/>
      </c>
      <c r="L23">
        <f>PRODUCT(K2:K23)</f>
        <v>0.1302424734968155</v>
      </c>
      <c r="O23" s="3" t="e">
        <f t="shared" si="5"/>
        <v>#N/A</v>
      </c>
      <c r="P23" t="e">
        <f t="shared" si="6"/>
        <v>#N/A</v>
      </c>
      <c r="Q23">
        <f t="shared" si="15"/>
        <v>-0.69314718055994529</v>
      </c>
      <c r="R23" t="e">
        <f t="shared" si="7"/>
        <v>#N/A</v>
      </c>
      <c r="S23" t="e">
        <f t="shared" si="8"/>
        <v>#N/A</v>
      </c>
      <c r="T23" t="e">
        <f t="shared" si="9"/>
        <v>#N/A</v>
      </c>
      <c r="U23" t="e">
        <f t="shared" si="10"/>
        <v>#N/A</v>
      </c>
      <c r="V23" t="e">
        <f t="shared" si="11"/>
        <v>#N/A</v>
      </c>
      <c r="W23" t="e">
        <f t="shared" si="12"/>
        <v>#N/A</v>
      </c>
      <c r="X23" t="str">
        <f t="shared" si="13"/>
        <v/>
      </c>
      <c r="Y23" t="str">
        <f t="shared" si="14"/>
        <v/>
      </c>
      <c r="AG23" s="1"/>
    </row>
    <row r="24" spans="1:33" x14ac:dyDescent="0.25">
      <c r="A24" s="3">
        <v>23</v>
      </c>
      <c r="B24" s="17"/>
      <c r="D24" s="31"/>
      <c r="E24" s="25"/>
      <c r="F24" s="25"/>
      <c r="G24" s="2" t="str">
        <f t="shared" si="0"/>
        <v/>
      </c>
      <c r="H24" s="13" t="str">
        <f t="shared" si="1"/>
        <v/>
      </c>
      <c r="I24" t="str">
        <f t="shared" si="2"/>
        <v/>
      </c>
      <c r="J24">
        <f t="shared" si="3"/>
        <v>1.0163043478260869</v>
      </c>
      <c r="K24" t="str">
        <f t="shared" si="4"/>
        <v/>
      </c>
      <c r="L24">
        <f>PRODUCT(K2:K24)</f>
        <v>0.1302424734968155</v>
      </c>
      <c r="O24" s="3" t="e">
        <f t="shared" si="5"/>
        <v>#N/A</v>
      </c>
      <c r="P24" t="e">
        <f t="shared" si="6"/>
        <v>#N/A</v>
      </c>
      <c r="Q24">
        <f t="shared" si="15"/>
        <v>-0.69314718055994529</v>
      </c>
      <c r="R24" t="e">
        <f t="shared" si="7"/>
        <v>#N/A</v>
      </c>
      <c r="S24" t="e">
        <f t="shared" si="8"/>
        <v>#N/A</v>
      </c>
      <c r="T24" t="e">
        <f t="shared" si="9"/>
        <v>#N/A</v>
      </c>
      <c r="U24" t="e">
        <f t="shared" si="10"/>
        <v>#N/A</v>
      </c>
      <c r="V24" t="e">
        <f t="shared" si="11"/>
        <v>#N/A</v>
      </c>
      <c r="W24" t="e">
        <f t="shared" si="12"/>
        <v>#N/A</v>
      </c>
      <c r="X24" t="str">
        <f t="shared" si="13"/>
        <v/>
      </c>
      <c r="Y24" t="str">
        <f t="shared" si="14"/>
        <v/>
      </c>
      <c r="AG24" s="1"/>
    </row>
    <row r="25" spans="1:33" x14ac:dyDescent="0.25">
      <c r="A25" s="3">
        <v>24</v>
      </c>
      <c r="B25" s="17"/>
      <c r="D25" s="31"/>
      <c r="E25" s="25"/>
      <c r="F25" s="25"/>
      <c r="G25" s="2" t="str">
        <f t="shared" si="0"/>
        <v/>
      </c>
      <c r="H25" s="13" t="str">
        <f t="shared" si="1"/>
        <v/>
      </c>
      <c r="I25" t="str">
        <f t="shared" si="2"/>
        <v/>
      </c>
      <c r="J25">
        <f t="shared" si="3"/>
        <v>1.0163043478260869</v>
      </c>
      <c r="K25" t="str">
        <f t="shared" si="4"/>
        <v/>
      </c>
      <c r="L25">
        <f>PRODUCT(K2:K25)</f>
        <v>0.1302424734968155</v>
      </c>
      <c r="O25" s="3" t="e">
        <f t="shared" si="5"/>
        <v>#N/A</v>
      </c>
      <c r="P25" t="e">
        <f t="shared" si="6"/>
        <v>#N/A</v>
      </c>
      <c r="Q25">
        <f t="shared" si="15"/>
        <v>-0.69314718055994529</v>
      </c>
      <c r="R25" t="e">
        <f t="shared" si="7"/>
        <v>#N/A</v>
      </c>
      <c r="S25" t="e">
        <f t="shared" si="8"/>
        <v>#N/A</v>
      </c>
      <c r="T25" t="e">
        <f t="shared" si="9"/>
        <v>#N/A</v>
      </c>
      <c r="U25" t="e">
        <f t="shared" si="10"/>
        <v>#N/A</v>
      </c>
      <c r="V25" t="e">
        <f t="shared" si="11"/>
        <v>#N/A</v>
      </c>
      <c r="W25" t="e">
        <f t="shared" si="12"/>
        <v>#N/A</v>
      </c>
      <c r="X25" t="str">
        <f t="shared" si="13"/>
        <v/>
      </c>
      <c r="Y25" t="str">
        <f t="shared" si="14"/>
        <v/>
      </c>
      <c r="AG25" s="1"/>
    </row>
    <row r="26" spans="1:33" x14ac:dyDescent="0.25">
      <c r="A26" s="3">
        <v>25</v>
      </c>
      <c r="B26" s="17"/>
      <c r="D26" s="31"/>
      <c r="E26" s="25"/>
      <c r="F26" s="25"/>
      <c r="G26" s="2" t="str">
        <f t="shared" si="0"/>
        <v/>
      </c>
      <c r="H26" s="13" t="str">
        <f t="shared" si="1"/>
        <v/>
      </c>
      <c r="I26" t="str">
        <f t="shared" si="2"/>
        <v/>
      </c>
      <c r="J26">
        <f t="shared" si="3"/>
        <v>1.0163043478260869</v>
      </c>
      <c r="K26" t="str">
        <f t="shared" si="4"/>
        <v/>
      </c>
      <c r="L26">
        <f>PRODUCT(K2:K26)</f>
        <v>0.1302424734968155</v>
      </c>
      <c r="O26" s="3" t="e">
        <f t="shared" si="5"/>
        <v>#N/A</v>
      </c>
      <c r="P26" t="e">
        <f t="shared" si="6"/>
        <v>#N/A</v>
      </c>
      <c r="Q26">
        <f t="shared" si="15"/>
        <v>-0.69314718055994529</v>
      </c>
      <c r="R26" t="e">
        <f t="shared" si="7"/>
        <v>#N/A</v>
      </c>
      <c r="S26" t="e">
        <f t="shared" si="8"/>
        <v>#N/A</v>
      </c>
      <c r="T26" t="e">
        <f t="shared" si="9"/>
        <v>#N/A</v>
      </c>
      <c r="U26" t="e">
        <f t="shared" si="10"/>
        <v>#N/A</v>
      </c>
      <c r="V26" t="e">
        <f t="shared" si="11"/>
        <v>#N/A</v>
      </c>
      <c r="W26" t="e">
        <f t="shared" si="12"/>
        <v>#N/A</v>
      </c>
      <c r="X26" t="str">
        <f t="shared" si="13"/>
        <v/>
      </c>
      <c r="Y26" t="str">
        <f t="shared" si="14"/>
        <v/>
      </c>
      <c r="AG26" s="1"/>
    </row>
    <row r="27" spans="1:33" x14ac:dyDescent="0.25">
      <c r="A27" s="3">
        <v>26</v>
      </c>
      <c r="B27" s="17"/>
      <c r="D27" s="31"/>
      <c r="E27" s="25"/>
      <c r="F27" s="25"/>
      <c r="G27" s="2" t="str">
        <f t="shared" si="0"/>
        <v/>
      </c>
      <c r="H27" s="13" t="str">
        <f t="shared" si="1"/>
        <v/>
      </c>
      <c r="I27" t="str">
        <f t="shared" si="2"/>
        <v/>
      </c>
      <c r="J27">
        <f t="shared" si="3"/>
        <v>1.0163043478260869</v>
      </c>
      <c r="K27" t="str">
        <f t="shared" si="4"/>
        <v/>
      </c>
      <c r="L27">
        <f>PRODUCT(K2:K27)</f>
        <v>0.1302424734968155</v>
      </c>
      <c r="O27" s="3" t="e">
        <f t="shared" si="5"/>
        <v>#N/A</v>
      </c>
      <c r="P27" t="e">
        <f t="shared" si="6"/>
        <v>#N/A</v>
      </c>
      <c r="Q27">
        <f t="shared" si="15"/>
        <v>-0.69314718055994529</v>
      </c>
      <c r="R27" t="e">
        <f t="shared" si="7"/>
        <v>#N/A</v>
      </c>
      <c r="S27" t="e">
        <f t="shared" si="8"/>
        <v>#N/A</v>
      </c>
      <c r="T27" t="e">
        <f t="shared" si="9"/>
        <v>#N/A</v>
      </c>
      <c r="U27" t="e">
        <f t="shared" si="10"/>
        <v>#N/A</v>
      </c>
      <c r="V27" t="e">
        <f t="shared" si="11"/>
        <v>#N/A</v>
      </c>
      <c r="W27" t="e">
        <f t="shared" si="12"/>
        <v>#N/A</v>
      </c>
      <c r="X27" t="str">
        <f t="shared" si="13"/>
        <v/>
      </c>
      <c r="Y27" t="str">
        <f t="shared" si="14"/>
        <v/>
      </c>
      <c r="AG27" s="1"/>
    </row>
    <row r="28" spans="1:33" x14ac:dyDescent="0.25">
      <c r="A28" s="3">
        <v>27</v>
      </c>
      <c r="B28" s="17"/>
      <c r="D28" s="31"/>
      <c r="E28" s="25"/>
      <c r="F28" s="25"/>
      <c r="G28" s="2" t="str">
        <f t="shared" si="0"/>
        <v/>
      </c>
      <c r="H28" s="13" t="str">
        <f t="shared" si="1"/>
        <v/>
      </c>
      <c r="I28" t="str">
        <f t="shared" si="2"/>
        <v/>
      </c>
      <c r="J28">
        <f t="shared" si="3"/>
        <v>1.0163043478260869</v>
      </c>
      <c r="K28" t="str">
        <f t="shared" si="4"/>
        <v/>
      </c>
      <c r="L28">
        <f>PRODUCT(K2:K28)</f>
        <v>0.1302424734968155</v>
      </c>
      <c r="O28" s="3" t="e">
        <f t="shared" si="5"/>
        <v>#N/A</v>
      </c>
      <c r="P28" t="e">
        <f t="shared" si="6"/>
        <v>#N/A</v>
      </c>
      <c r="Q28">
        <f t="shared" si="15"/>
        <v>-0.69314718055994529</v>
      </c>
      <c r="R28" t="e">
        <f t="shared" si="7"/>
        <v>#N/A</v>
      </c>
      <c r="S28" t="e">
        <f t="shared" si="8"/>
        <v>#N/A</v>
      </c>
      <c r="T28" t="e">
        <f t="shared" si="9"/>
        <v>#N/A</v>
      </c>
      <c r="U28" t="e">
        <f t="shared" si="10"/>
        <v>#N/A</v>
      </c>
      <c r="V28" t="e">
        <f t="shared" si="11"/>
        <v>#N/A</v>
      </c>
      <c r="W28" t="e">
        <f t="shared" si="12"/>
        <v>#N/A</v>
      </c>
      <c r="X28" t="str">
        <f t="shared" si="13"/>
        <v/>
      </c>
      <c r="Y28" t="str">
        <f t="shared" si="14"/>
        <v/>
      </c>
      <c r="AG28" s="1"/>
    </row>
    <row r="29" spans="1:33" x14ac:dyDescent="0.25">
      <c r="A29" s="3">
        <v>28</v>
      </c>
      <c r="B29" s="17"/>
      <c r="D29" s="31"/>
      <c r="E29" s="25"/>
      <c r="F29" s="25"/>
      <c r="G29" s="2" t="str">
        <f t="shared" si="0"/>
        <v/>
      </c>
      <c r="H29" s="13" t="str">
        <f t="shared" si="1"/>
        <v/>
      </c>
      <c r="I29" t="str">
        <f t="shared" si="2"/>
        <v/>
      </c>
      <c r="J29">
        <f t="shared" si="3"/>
        <v>1.0163043478260869</v>
      </c>
      <c r="K29" t="str">
        <f t="shared" si="4"/>
        <v/>
      </c>
      <c r="L29">
        <f>PRODUCT(K2:K29)</f>
        <v>0.1302424734968155</v>
      </c>
      <c r="O29" s="3" t="e">
        <f t="shared" si="5"/>
        <v>#N/A</v>
      </c>
      <c r="P29" t="e">
        <f t="shared" si="6"/>
        <v>#N/A</v>
      </c>
      <c r="Q29">
        <f t="shared" si="15"/>
        <v>-0.69314718055994529</v>
      </c>
      <c r="R29" t="e">
        <f t="shared" si="7"/>
        <v>#N/A</v>
      </c>
      <c r="S29" t="e">
        <f t="shared" si="8"/>
        <v>#N/A</v>
      </c>
      <c r="T29" t="e">
        <f t="shared" si="9"/>
        <v>#N/A</v>
      </c>
      <c r="U29" t="e">
        <f t="shared" si="10"/>
        <v>#N/A</v>
      </c>
      <c r="V29" t="e">
        <f t="shared" si="11"/>
        <v>#N/A</v>
      </c>
      <c r="W29" t="e">
        <f t="shared" si="12"/>
        <v>#N/A</v>
      </c>
      <c r="X29" t="str">
        <f t="shared" si="13"/>
        <v/>
      </c>
      <c r="Y29" t="str">
        <f t="shared" si="14"/>
        <v/>
      </c>
      <c r="AG29" s="1"/>
    </row>
    <row r="30" spans="1:33" x14ac:dyDescent="0.25">
      <c r="A30" s="3">
        <v>29</v>
      </c>
      <c r="B30" s="17"/>
      <c r="D30" s="31"/>
      <c r="E30" s="25"/>
      <c r="F30" s="25"/>
      <c r="G30" s="2" t="str">
        <f t="shared" si="0"/>
        <v/>
      </c>
      <c r="H30" s="13" t="str">
        <f t="shared" si="1"/>
        <v/>
      </c>
      <c r="I30" t="str">
        <f t="shared" si="2"/>
        <v/>
      </c>
      <c r="J30">
        <f t="shared" si="3"/>
        <v>1.0163043478260869</v>
      </c>
      <c r="K30" t="str">
        <f t="shared" si="4"/>
        <v/>
      </c>
      <c r="L30">
        <f>PRODUCT(K2:K30)</f>
        <v>0.1302424734968155</v>
      </c>
      <c r="O30" s="3" t="e">
        <f t="shared" si="5"/>
        <v>#N/A</v>
      </c>
      <c r="P30" t="e">
        <f t="shared" si="6"/>
        <v>#N/A</v>
      </c>
      <c r="Q30">
        <f t="shared" si="15"/>
        <v>-0.69314718055994529</v>
      </c>
      <c r="R30" t="e">
        <f t="shared" si="7"/>
        <v>#N/A</v>
      </c>
      <c r="S30" t="e">
        <f t="shared" si="8"/>
        <v>#N/A</v>
      </c>
      <c r="T30" t="e">
        <f t="shared" si="9"/>
        <v>#N/A</v>
      </c>
      <c r="U30" t="e">
        <f t="shared" si="10"/>
        <v>#N/A</v>
      </c>
      <c r="V30" t="e">
        <f t="shared" si="11"/>
        <v>#N/A</v>
      </c>
      <c r="W30" t="e">
        <f t="shared" si="12"/>
        <v>#N/A</v>
      </c>
      <c r="X30" t="str">
        <f t="shared" si="13"/>
        <v/>
      </c>
      <c r="Y30" t="str">
        <f t="shared" si="14"/>
        <v/>
      </c>
      <c r="AG30" s="1"/>
    </row>
    <row r="31" spans="1:33" x14ac:dyDescent="0.25">
      <c r="A31" s="3">
        <v>30</v>
      </c>
      <c r="B31" s="17"/>
      <c r="D31" s="31"/>
      <c r="E31" s="25"/>
      <c r="F31" s="25"/>
      <c r="G31" s="2" t="str">
        <f t="shared" si="0"/>
        <v/>
      </c>
      <c r="H31" s="13" t="str">
        <f t="shared" si="1"/>
        <v/>
      </c>
      <c r="I31" t="str">
        <f t="shared" si="2"/>
        <v/>
      </c>
      <c r="J31">
        <f t="shared" si="3"/>
        <v>1.0163043478260869</v>
      </c>
      <c r="K31" t="str">
        <f t="shared" si="4"/>
        <v/>
      </c>
      <c r="L31">
        <f>PRODUCT(K2:K31)</f>
        <v>0.1302424734968155</v>
      </c>
      <c r="O31" s="3" t="e">
        <f t="shared" si="5"/>
        <v>#N/A</v>
      </c>
      <c r="P31" t="e">
        <f t="shared" si="6"/>
        <v>#N/A</v>
      </c>
      <c r="Q31">
        <f t="shared" si="15"/>
        <v>-0.69314718055994529</v>
      </c>
      <c r="R31" t="e">
        <f t="shared" si="7"/>
        <v>#N/A</v>
      </c>
      <c r="S31" t="e">
        <f t="shared" si="8"/>
        <v>#N/A</v>
      </c>
      <c r="T31" t="e">
        <f t="shared" si="9"/>
        <v>#N/A</v>
      </c>
      <c r="U31" t="e">
        <f t="shared" si="10"/>
        <v>#N/A</v>
      </c>
      <c r="V31" t="e">
        <f t="shared" si="11"/>
        <v>#N/A</v>
      </c>
      <c r="W31" t="e">
        <f t="shared" si="12"/>
        <v>#N/A</v>
      </c>
      <c r="X31" t="str">
        <f t="shared" si="13"/>
        <v/>
      </c>
      <c r="Y31" t="str">
        <f t="shared" si="14"/>
        <v/>
      </c>
      <c r="AG31" s="1"/>
    </row>
    <row r="32" spans="1:33" x14ac:dyDescent="0.25">
      <c r="A32" s="3">
        <v>31</v>
      </c>
      <c r="B32" s="17"/>
      <c r="D32" s="31"/>
      <c r="E32" s="25"/>
      <c r="F32" s="25"/>
      <c r="G32" s="2" t="str">
        <f t="shared" si="0"/>
        <v/>
      </c>
      <c r="H32" s="13" t="str">
        <f t="shared" si="1"/>
        <v/>
      </c>
      <c r="I32" t="str">
        <f t="shared" si="2"/>
        <v/>
      </c>
      <c r="J32">
        <f t="shared" si="3"/>
        <v>1.0163043478260869</v>
      </c>
      <c r="K32" t="str">
        <f t="shared" si="4"/>
        <v/>
      </c>
      <c r="L32">
        <f>PRODUCT(K2:K32)</f>
        <v>0.1302424734968155</v>
      </c>
      <c r="O32" s="3" t="e">
        <f t="shared" si="5"/>
        <v>#N/A</v>
      </c>
      <c r="P32" t="e">
        <f t="shared" si="6"/>
        <v>#N/A</v>
      </c>
      <c r="Q32">
        <f t="shared" si="15"/>
        <v>-0.69314718055994529</v>
      </c>
      <c r="R32" t="e">
        <f t="shared" si="7"/>
        <v>#N/A</v>
      </c>
      <c r="S32" t="e">
        <f t="shared" si="8"/>
        <v>#N/A</v>
      </c>
      <c r="T32" t="e">
        <f t="shared" si="9"/>
        <v>#N/A</v>
      </c>
      <c r="U32" t="e">
        <f t="shared" si="10"/>
        <v>#N/A</v>
      </c>
      <c r="V32" t="e">
        <f t="shared" si="11"/>
        <v>#N/A</v>
      </c>
      <c r="W32" t="e">
        <f t="shared" si="12"/>
        <v>#N/A</v>
      </c>
      <c r="X32" t="str">
        <f t="shared" si="13"/>
        <v/>
      </c>
      <c r="Y32" t="str">
        <f t="shared" si="14"/>
        <v/>
      </c>
      <c r="AG32" s="1"/>
    </row>
    <row r="33" spans="1:33" x14ac:dyDescent="0.25">
      <c r="A33" s="3">
        <v>32</v>
      </c>
      <c r="B33" s="17"/>
      <c r="D33" s="31"/>
      <c r="E33" s="25"/>
      <c r="F33" s="25"/>
      <c r="G33" s="2" t="str">
        <f t="shared" si="0"/>
        <v/>
      </c>
      <c r="H33" s="13" t="str">
        <f t="shared" si="1"/>
        <v/>
      </c>
      <c r="I33" t="str">
        <f t="shared" si="2"/>
        <v/>
      </c>
      <c r="J33">
        <f t="shared" si="3"/>
        <v>1.0163043478260869</v>
      </c>
      <c r="K33" t="str">
        <f t="shared" si="4"/>
        <v/>
      </c>
      <c r="L33">
        <f>PRODUCT(K2:K33)</f>
        <v>0.1302424734968155</v>
      </c>
      <c r="O33" s="3" t="e">
        <f t="shared" si="5"/>
        <v>#N/A</v>
      </c>
      <c r="P33" t="e">
        <f t="shared" si="6"/>
        <v>#N/A</v>
      </c>
      <c r="Q33">
        <f t="shared" si="15"/>
        <v>-0.69314718055994529</v>
      </c>
      <c r="R33" t="e">
        <f t="shared" si="7"/>
        <v>#N/A</v>
      </c>
      <c r="S33" t="e">
        <f t="shared" si="8"/>
        <v>#N/A</v>
      </c>
      <c r="T33" t="e">
        <f t="shared" si="9"/>
        <v>#N/A</v>
      </c>
      <c r="U33" t="e">
        <f t="shared" si="10"/>
        <v>#N/A</v>
      </c>
      <c r="V33" t="e">
        <f t="shared" si="11"/>
        <v>#N/A</v>
      </c>
      <c r="W33" t="e">
        <f t="shared" si="12"/>
        <v>#N/A</v>
      </c>
      <c r="X33" t="str">
        <f t="shared" si="13"/>
        <v/>
      </c>
      <c r="Y33" t="str">
        <f t="shared" si="14"/>
        <v/>
      </c>
      <c r="AG33" s="1"/>
    </row>
    <row r="34" spans="1:33" x14ac:dyDescent="0.25">
      <c r="A34" s="3">
        <v>33</v>
      </c>
      <c r="B34" s="17"/>
      <c r="D34" s="32"/>
      <c r="E34" s="22"/>
      <c r="F34" s="22"/>
      <c r="G34" s="2" t="str">
        <f t="shared" ref="G34:G50" si="16">IF(C34,D34,"")</f>
        <v/>
      </c>
      <c r="H34" s="13" t="str">
        <f t="shared" ref="H34:H50" si="17">IF(C34,J34*L34,"")</f>
        <v/>
      </c>
      <c r="I34" t="str">
        <f t="shared" ref="I34:I51" si="18">IF(C34,LN(H34),"")</f>
        <v/>
      </c>
      <c r="J34">
        <f t="shared" ref="J34:J50" si="19">(COUNT(D$2:D$50)+0.7)/(COUNT(D$2:D$50)+0.4)</f>
        <v>1.0163043478260869</v>
      </c>
      <c r="K34" t="str">
        <f t="shared" ref="K34:K50" si="20">IF(C34,(COUNT(D$2:D$50)-A34+0.7)/(COUNT(D$2:D$50)-A34+1.7),"")</f>
        <v/>
      </c>
      <c r="L34">
        <f>PRODUCT(K2:K34)</f>
        <v>0.1302424734968155</v>
      </c>
      <c r="O34" s="3" t="e">
        <f t="shared" ref="O34:O50" si="21">IF(C34,D34,NA())</f>
        <v>#N/A</v>
      </c>
      <c r="P34" t="e">
        <f t="shared" ref="P34:P50" si="22">IF(C34, LN(H34),NA())</f>
        <v>#N/A</v>
      </c>
      <c r="Q34">
        <f t="shared" si="15"/>
        <v>-0.69314718055994529</v>
      </c>
      <c r="R34" t="e">
        <f t="shared" ref="R34:R50" si="23">IF(C34,l*G34+b+X34,NA())</f>
        <v>#N/A</v>
      </c>
      <c r="S34" t="e">
        <f t="shared" ref="S34:S50" si="24">IF(C34,l*G34+b-X34,NA())</f>
        <v>#N/A</v>
      </c>
      <c r="T34" t="e">
        <f t="shared" ref="T34:T50" si="25">IF(C34,LN(0.05),NA())</f>
        <v>#N/A</v>
      </c>
      <c r="U34" t="e">
        <f t="shared" ref="U34:U50" si="26">IF(C34,LN(0.95),NA())</f>
        <v>#N/A</v>
      </c>
      <c r="V34" t="e">
        <f t="shared" ref="V34:V50" si="27">IF(C34,l*G34+b+Y34,NA())</f>
        <v>#N/A</v>
      </c>
      <c r="W34" t="e">
        <f t="shared" ref="W34:W50" si="28">IF(C34,l*G34+b-Y34,NA())</f>
        <v>#N/A</v>
      </c>
      <c r="X34" t="str">
        <f t="shared" ref="X34:X50" si="29">IF(C34,t*SYX*SQRT(1+1/n+(G34-XAVG)^2/SSX),"")</f>
        <v/>
      </c>
      <c r="Y34" t="str">
        <f t="shared" ref="Y34:Y50" si="30">IF(C34,t*SYX*SQRT(1/n+(G34-XAVG)^2/SSX),"")</f>
        <v/>
      </c>
      <c r="AG34" s="1"/>
    </row>
    <row r="35" spans="1:33" x14ac:dyDescent="0.25">
      <c r="A35" s="3">
        <v>34</v>
      </c>
      <c r="B35" s="17"/>
      <c r="D35" s="30"/>
      <c r="E35" s="24"/>
      <c r="F35" s="24"/>
      <c r="G35" s="2" t="str">
        <f t="shared" si="16"/>
        <v/>
      </c>
      <c r="H35" s="13" t="str">
        <f t="shared" si="17"/>
        <v/>
      </c>
      <c r="I35" t="str">
        <f t="shared" si="18"/>
        <v/>
      </c>
      <c r="J35">
        <f t="shared" si="19"/>
        <v>1.0163043478260869</v>
      </c>
      <c r="K35" t="str">
        <f t="shared" si="20"/>
        <v/>
      </c>
      <c r="L35">
        <f>PRODUCT(K2:K35)</f>
        <v>0.1302424734968155</v>
      </c>
      <c r="O35" s="3" t="e">
        <f t="shared" si="21"/>
        <v>#N/A</v>
      </c>
      <c r="P35" t="e">
        <f t="shared" si="22"/>
        <v>#N/A</v>
      </c>
      <c r="Q35">
        <f t="shared" si="15"/>
        <v>-0.69314718055994529</v>
      </c>
      <c r="R35" t="e">
        <f t="shared" si="23"/>
        <v>#N/A</v>
      </c>
      <c r="S35" t="e">
        <f t="shared" si="24"/>
        <v>#N/A</v>
      </c>
      <c r="T35" t="e">
        <f t="shared" si="25"/>
        <v>#N/A</v>
      </c>
      <c r="U35" t="e">
        <f t="shared" si="26"/>
        <v>#N/A</v>
      </c>
      <c r="V35" t="e">
        <f t="shared" si="27"/>
        <v>#N/A</v>
      </c>
      <c r="W35" t="e">
        <f t="shared" si="28"/>
        <v>#N/A</v>
      </c>
      <c r="X35" t="str">
        <f t="shared" si="29"/>
        <v/>
      </c>
      <c r="Y35" t="str">
        <f t="shared" si="30"/>
        <v/>
      </c>
      <c r="AG35" s="1"/>
    </row>
    <row r="36" spans="1:33" x14ac:dyDescent="0.25">
      <c r="A36" s="3">
        <v>35</v>
      </c>
      <c r="B36" s="17"/>
      <c r="D36" s="30"/>
      <c r="E36" s="24"/>
      <c r="F36" s="24"/>
      <c r="G36" s="2" t="str">
        <f t="shared" si="16"/>
        <v/>
      </c>
      <c r="H36" s="13" t="str">
        <f t="shared" si="17"/>
        <v/>
      </c>
      <c r="I36" t="str">
        <f t="shared" si="18"/>
        <v/>
      </c>
      <c r="J36">
        <f t="shared" si="19"/>
        <v>1.0163043478260869</v>
      </c>
      <c r="K36" t="str">
        <f t="shared" si="20"/>
        <v/>
      </c>
      <c r="L36">
        <f>PRODUCT(K2:K36)</f>
        <v>0.1302424734968155</v>
      </c>
      <c r="O36" s="3" t="e">
        <f t="shared" si="21"/>
        <v>#N/A</v>
      </c>
      <c r="P36" t="e">
        <f t="shared" si="22"/>
        <v>#N/A</v>
      </c>
      <c r="Q36">
        <f t="shared" si="15"/>
        <v>-0.69314718055994529</v>
      </c>
      <c r="R36" t="e">
        <f t="shared" si="23"/>
        <v>#N/A</v>
      </c>
      <c r="S36" t="e">
        <f t="shared" si="24"/>
        <v>#N/A</v>
      </c>
      <c r="T36" t="e">
        <f t="shared" si="25"/>
        <v>#N/A</v>
      </c>
      <c r="U36" t="e">
        <f t="shared" si="26"/>
        <v>#N/A</v>
      </c>
      <c r="V36" t="e">
        <f t="shared" si="27"/>
        <v>#N/A</v>
      </c>
      <c r="W36" t="e">
        <f t="shared" si="28"/>
        <v>#N/A</v>
      </c>
      <c r="X36" t="str">
        <f t="shared" si="29"/>
        <v/>
      </c>
      <c r="Y36" t="str">
        <f t="shared" si="30"/>
        <v/>
      </c>
      <c r="AG36" s="1"/>
    </row>
    <row r="37" spans="1:33" x14ac:dyDescent="0.25">
      <c r="A37" s="3">
        <v>36</v>
      </c>
      <c r="B37" s="17"/>
      <c r="C37" s="26"/>
      <c r="D37" s="30"/>
      <c r="E37" s="24"/>
      <c r="F37" s="24"/>
      <c r="G37" s="2" t="str">
        <f t="shared" si="16"/>
        <v/>
      </c>
      <c r="H37" s="13" t="str">
        <f t="shared" si="17"/>
        <v/>
      </c>
      <c r="I37" t="str">
        <f t="shared" si="18"/>
        <v/>
      </c>
      <c r="J37">
        <f t="shared" si="19"/>
        <v>1.0163043478260869</v>
      </c>
      <c r="K37" t="str">
        <f t="shared" si="20"/>
        <v/>
      </c>
      <c r="L37">
        <f>PRODUCT(K2:K37)</f>
        <v>0.1302424734968155</v>
      </c>
      <c r="O37" s="3" t="e">
        <f t="shared" si="21"/>
        <v>#N/A</v>
      </c>
      <c r="P37" t="e">
        <f t="shared" si="22"/>
        <v>#N/A</v>
      </c>
      <c r="Q37">
        <f t="shared" si="15"/>
        <v>-0.69314718055994529</v>
      </c>
      <c r="R37" t="e">
        <f t="shared" si="23"/>
        <v>#N/A</v>
      </c>
      <c r="S37" t="e">
        <f t="shared" si="24"/>
        <v>#N/A</v>
      </c>
      <c r="T37" t="e">
        <f t="shared" si="25"/>
        <v>#N/A</v>
      </c>
      <c r="U37" t="e">
        <f t="shared" si="26"/>
        <v>#N/A</v>
      </c>
      <c r="V37" t="e">
        <f t="shared" si="27"/>
        <v>#N/A</v>
      </c>
      <c r="W37" t="e">
        <f t="shared" si="28"/>
        <v>#N/A</v>
      </c>
      <c r="X37" t="str">
        <f t="shared" si="29"/>
        <v/>
      </c>
      <c r="Y37" t="str">
        <f t="shared" si="30"/>
        <v/>
      </c>
      <c r="AG37" s="1"/>
    </row>
    <row r="38" spans="1:33" x14ac:dyDescent="0.25">
      <c r="A38" s="3">
        <v>37</v>
      </c>
      <c r="B38" s="17"/>
      <c r="D38" s="33"/>
      <c r="E38" s="21"/>
      <c r="F38" s="21"/>
      <c r="G38" s="2" t="str">
        <f t="shared" si="16"/>
        <v/>
      </c>
      <c r="H38" s="13" t="str">
        <f t="shared" si="17"/>
        <v/>
      </c>
      <c r="I38" t="str">
        <f t="shared" si="18"/>
        <v/>
      </c>
      <c r="J38">
        <f t="shared" si="19"/>
        <v>1.0163043478260869</v>
      </c>
      <c r="K38" t="str">
        <f t="shared" si="20"/>
        <v/>
      </c>
      <c r="L38">
        <f>PRODUCT(K2:K38)</f>
        <v>0.1302424734968155</v>
      </c>
      <c r="O38" s="3" t="e">
        <f t="shared" si="21"/>
        <v>#N/A</v>
      </c>
      <c r="P38" t="e">
        <f t="shared" si="22"/>
        <v>#N/A</v>
      </c>
      <c r="Q38">
        <f t="shared" si="15"/>
        <v>-0.69314718055994529</v>
      </c>
      <c r="R38" t="e">
        <f t="shared" si="23"/>
        <v>#N/A</v>
      </c>
      <c r="S38" t="e">
        <f t="shared" si="24"/>
        <v>#N/A</v>
      </c>
      <c r="T38" t="e">
        <f t="shared" si="25"/>
        <v>#N/A</v>
      </c>
      <c r="U38" t="e">
        <f t="shared" si="26"/>
        <v>#N/A</v>
      </c>
      <c r="V38" t="e">
        <f t="shared" si="27"/>
        <v>#N/A</v>
      </c>
      <c r="W38" t="e">
        <f t="shared" si="28"/>
        <v>#N/A</v>
      </c>
      <c r="X38" t="str">
        <f t="shared" si="29"/>
        <v/>
      </c>
      <c r="Y38" t="str">
        <f t="shared" si="30"/>
        <v/>
      </c>
      <c r="AG38" s="1"/>
    </row>
    <row r="39" spans="1:33" x14ac:dyDescent="0.25">
      <c r="A39" s="3">
        <v>38</v>
      </c>
      <c r="B39" s="17"/>
      <c r="D39" s="33"/>
      <c r="E39" s="21"/>
      <c r="F39" s="21"/>
      <c r="G39" s="2" t="str">
        <f t="shared" si="16"/>
        <v/>
      </c>
      <c r="H39" s="13" t="str">
        <f t="shared" si="17"/>
        <v/>
      </c>
      <c r="I39" t="str">
        <f t="shared" si="18"/>
        <v/>
      </c>
      <c r="J39">
        <f t="shared" si="19"/>
        <v>1.0163043478260869</v>
      </c>
      <c r="K39" t="str">
        <f t="shared" si="20"/>
        <v/>
      </c>
      <c r="L39">
        <f>PRODUCT(K2:K39)</f>
        <v>0.1302424734968155</v>
      </c>
      <c r="O39" s="3" t="e">
        <f t="shared" si="21"/>
        <v>#N/A</v>
      </c>
      <c r="P39" t="e">
        <f t="shared" si="22"/>
        <v>#N/A</v>
      </c>
      <c r="Q39">
        <f t="shared" si="15"/>
        <v>-0.69314718055994529</v>
      </c>
      <c r="R39" t="e">
        <f t="shared" si="23"/>
        <v>#N/A</v>
      </c>
      <c r="S39" t="e">
        <f t="shared" si="24"/>
        <v>#N/A</v>
      </c>
      <c r="T39" t="e">
        <f t="shared" si="25"/>
        <v>#N/A</v>
      </c>
      <c r="U39" t="e">
        <f t="shared" si="26"/>
        <v>#N/A</v>
      </c>
      <c r="V39" t="e">
        <f t="shared" si="27"/>
        <v>#N/A</v>
      </c>
      <c r="W39" t="e">
        <f t="shared" si="28"/>
        <v>#N/A</v>
      </c>
      <c r="X39" t="str">
        <f t="shared" si="29"/>
        <v/>
      </c>
      <c r="Y39" t="str">
        <f t="shared" si="30"/>
        <v/>
      </c>
      <c r="AG39" s="1"/>
    </row>
    <row r="40" spans="1:33" x14ac:dyDescent="0.25">
      <c r="A40" s="3">
        <v>39</v>
      </c>
      <c r="B40" s="17"/>
      <c r="D40" s="30"/>
      <c r="E40" s="24"/>
      <c r="F40" s="24"/>
      <c r="G40" s="2" t="str">
        <f t="shared" si="16"/>
        <v/>
      </c>
      <c r="H40" s="13" t="str">
        <f t="shared" si="17"/>
        <v/>
      </c>
      <c r="I40" t="str">
        <f t="shared" si="18"/>
        <v/>
      </c>
      <c r="J40">
        <f t="shared" si="19"/>
        <v>1.0163043478260869</v>
      </c>
      <c r="K40" t="str">
        <f t="shared" si="20"/>
        <v/>
      </c>
      <c r="L40">
        <f>PRODUCT(K2:K40)</f>
        <v>0.1302424734968155</v>
      </c>
      <c r="O40" s="3" t="e">
        <f t="shared" si="21"/>
        <v>#N/A</v>
      </c>
      <c r="P40" t="e">
        <f t="shared" si="22"/>
        <v>#N/A</v>
      </c>
      <c r="Q40">
        <f t="shared" si="15"/>
        <v>-0.69314718055994529</v>
      </c>
      <c r="R40" t="e">
        <f t="shared" si="23"/>
        <v>#N/A</v>
      </c>
      <c r="S40" t="e">
        <f t="shared" si="24"/>
        <v>#N/A</v>
      </c>
      <c r="T40" t="e">
        <f t="shared" si="25"/>
        <v>#N/A</v>
      </c>
      <c r="U40" t="e">
        <f t="shared" si="26"/>
        <v>#N/A</v>
      </c>
      <c r="V40" t="e">
        <f t="shared" si="27"/>
        <v>#N/A</v>
      </c>
      <c r="W40" t="e">
        <f t="shared" si="28"/>
        <v>#N/A</v>
      </c>
      <c r="X40" t="str">
        <f t="shared" si="29"/>
        <v/>
      </c>
      <c r="Y40" t="str">
        <f t="shared" si="30"/>
        <v/>
      </c>
      <c r="AG40" s="1"/>
    </row>
    <row r="41" spans="1:33" x14ac:dyDescent="0.25">
      <c r="A41" s="3">
        <v>40</v>
      </c>
      <c r="B41" s="17"/>
      <c r="C41" s="26"/>
      <c r="D41" s="30"/>
      <c r="E41" s="24"/>
      <c r="F41" s="24"/>
      <c r="G41" s="2" t="str">
        <f t="shared" si="16"/>
        <v/>
      </c>
      <c r="H41" s="13" t="str">
        <f t="shared" si="17"/>
        <v/>
      </c>
      <c r="I41" t="str">
        <f t="shared" si="18"/>
        <v/>
      </c>
      <c r="J41">
        <f t="shared" si="19"/>
        <v>1.0163043478260869</v>
      </c>
      <c r="K41" t="str">
        <f t="shared" si="20"/>
        <v/>
      </c>
      <c r="L41">
        <f>PRODUCT(K2:K41)</f>
        <v>0.1302424734968155</v>
      </c>
      <c r="O41" s="3" t="e">
        <f t="shared" si="21"/>
        <v>#N/A</v>
      </c>
      <c r="P41" t="e">
        <f t="shared" si="22"/>
        <v>#N/A</v>
      </c>
      <c r="Q41">
        <f t="shared" si="15"/>
        <v>-0.69314718055994529</v>
      </c>
      <c r="R41" t="e">
        <f t="shared" si="23"/>
        <v>#N/A</v>
      </c>
      <c r="S41" t="e">
        <f t="shared" si="24"/>
        <v>#N/A</v>
      </c>
      <c r="T41" t="e">
        <f t="shared" si="25"/>
        <v>#N/A</v>
      </c>
      <c r="U41" t="e">
        <f t="shared" si="26"/>
        <v>#N/A</v>
      </c>
      <c r="V41" t="e">
        <f t="shared" si="27"/>
        <v>#N/A</v>
      </c>
      <c r="W41" t="e">
        <f t="shared" si="28"/>
        <v>#N/A</v>
      </c>
      <c r="X41" t="str">
        <f t="shared" si="29"/>
        <v/>
      </c>
      <c r="Y41" t="str">
        <f t="shared" si="30"/>
        <v/>
      </c>
      <c r="AG41" s="1"/>
    </row>
    <row r="42" spans="1:33" x14ac:dyDescent="0.25">
      <c r="A42" s="3">
        <v>41</v>
      </c>
      <c r="B42" s="17"/>
      <c r="D42" s="30"/>
      <c r="E42" s="24"/>
      <c r="F42" s="24"/>
      <c r="G42" s="2" t="str">
        <f t="shared" si="16"/>
        <v/>
      </c>
      <c r="H42" s="13" t="str">
        <f t="shared" si="17"/>
        <v/>
      </c>
      <c r="I42" t="str">
        <f t="shared" si="18"/>
        <v/>
      </c>
      <c r="J42">
        <f t="shared" si="19"/>
        <v>1.0163043478260869</v>
      </c>
      <c r="K42" t="str">
        <f t="shared" si="20"/>
        <v/>
      </c>
      <c r="L42">
        <f>PRODUCT(K2:K42)</f>
        <v>0.1302424734968155</v>
      </c>
      <c r="O42" s="3" t="e">
        <f t="shared" si="21"/>
        <v>#N/A</v>
      </c>
      <c r="P42" t="e">
        <f t="shared" si="22"/>
        <v>#N/A</v>
      </c>
      <c r="Q42">
        <f t="shared" si="15"/>
        <v>-0.69314718055994529</v>
      </c>
      <c r="R42" t="e">
        <f t="shared" si="23"/>
        <v>#N/A</v>
      </c>
      <c r="S42" t="e">
        <f t="shared" si="24"/>
        <v>#N/A</v>
      </c>
      <c r="T42" t="e">
        <f t="shared" si="25"/>
        <v>#N/A</v>
      </c>
      <c r="U42" t="e">
        <f t="shared" si="26"/>
        <v>#N/A</v>
      </c>
      <c r="V42" t="e">
        <f t="shared" si="27"/>
        <v>#N/A</v>
      </c>
      <c r="W42" t="e">
        <f t="shared" si="28"/>
        <v>#N/A</v>
      </c>
      <c r="X42" t="str">
        <f t="shared" si="29"/>
        <v/>
      </c>
      <c r="Y42" t="str">
        <f t="shared" si="30"/>
        <v/>
      </c>
      <c r="AG42" s="1"/>
    </row>
    <row r="43" spans="1:33" x14ac:dyDescent="0.25">
      <c r="A43" s="3">
        <v>42</v>
      </c>
      <c r="B43" s="17"/>
      <c r="D43" s="33"/>
      <c r="E43" s="21"/>
      <c r="F43" s="21"/>
      <c r="G43" s="2" t="str">
        <f t="shared" si="16"/>
        <v/>
      </c>
      <c r="H43" s="13" t="str">
        <f t="shared" si="17"/>
        <v/>
      </c>
      <c r="I43" t="str">
        <f t="shared" si="18"/>
        <v/>
      </c>
      <c r="J43">
        <f t="shared" si="19"/>
        <v>1.0163043478260869</v>
      </c>
      <c r="K43" t="str">
        <f t="shared" si="20"/>
        <v/>
      </c>
      <c r="L43">
        <f>PRODUCT(K2:K43)</f>
        <v>0.1302424734968155</v>
      </c>
      <c r="O43" s="3" t="e">
        <f t="shared" si="21"/>
        <v>#N/A</v>
      </c>
      <c r="P43" t="e">
        <f t="shared" si="22"/>
        <v>#N/A</v>
      </c>
      <c r="Q43">
        <f t="shared" si="15"/>
        <v>-0.69314718055994529</v>
      </c>
      <c r="R43" t="e">
        <f t="shared" si="23"/>
        <v>#N/A</v>
      </c>
      <c r="S43" t="e">
        <f t="shared" si="24"/>
        <v>#N/A</v>
      </c>
      <c r="T43" t="e">
        <f t="shared" si="25"/>
        <v>#N/A</v>
      </c>
      <c r="U43" t="e">
        <f t="shared" si="26"/>
        <v>#N/A</v>
      </c>
      <c r="V43" t="e">
        <f t="shared" si="27"/>
        <v>#N/A</v>
      </c>
      <c r="W43" t="e">
        <f t="shared" si="28"/>
        <v>#N/A</v>
      </c>
      <c r="X43" t="str">
        <f t="shared" si="29"/>
        <v/>
      </c>
      <c r="Y43" t="str">
        <f t="shared" si="30"/>
        <v/>
      </c>
      <c r="AG43" s="1"/>
    </row>
    <row r="44" spans="1:33" x14ac:dyDescent="0.25">
      <c r="A44" s="3">
        <v>43</v>
      </c>
      <c r="B44" s="17"/>
      <c r="D44" s="30"/>
      <c r="E44" s="24"/>
      <c r="F44" s="24"/>
      <c r="G44" s="2" t="str">
        <f t="shared" si="16"/>
        <v/>
      </c>
      <c r="H44" s="13" t="str">
        <f t="shared" si="17"/>
        <v/>
      </c>
      <c r="I44" t="str">
        <f t="shared" si="18"/>
        <v/>
      </c>
      <c r="J44">
        <f t="shared" si="19"/>
        <v>1.0163043478260869</v>
      </c>
      <c r="K44" t="str">
        <f t="shared" si="20"/>
        <v/>
      </c>
      <c r="L44">
        <f>PRODUCT(K2:K44)</f>
        <v>0.1302424734968155</v>
      </c>
      <c r="O44" s="3" t="e">
        <f t="shared" si="21"/>
        <v>#N/A</v>
      </c>
      <c r="P44" t="e">
        <f t="shared" si="22"/>
        <v>#N/A</v>
      </c>
      <c r="Q44">
        <f t="shared" si="15"/>
        <v>-0.69314718055994529</v>
      </c>
      <c r="R44" t="e">
        <f t="shared" si="23"/>
        <v>#N/A</v>
      </c>
      <c r="S44" t="e">
        <f t="shared" si="24"/>
        <v>#N/A</v>
      </c>
      <c r="T44" t="e">
        <f t="shared" si="25"/>
        <v>#N/A</v>
      </c>
      <c r="U44" t="e">
        <f t="shared" si="26"/>
        <v>#N/A</v>
      </c>
      <c r="V44" t="e">
        <f t="shared" si="27"/>
        <v>#N/A</v>
      </c>
      <c r="W44" t="e">
        <f t="shared" si="28"/>
        <v>#N/A</v>
      </c>
      <c r="X44" t="str">
        <f t="shared" si="29"/>
        <v/>
      </c>
      <c r="Y44" t="str">
        <f t="shared" si="30"/>
        <v/>
      </c>
      <c r="AG44" s="1"/>
    </row>
    <row r="45" spans="1:33" x14ac:dyDescent="0.25">
      <c r="A45" s="3">
        <v>44</v>
      </c>
      <c r="B45" s="17"/>
      <c r="D45" s="31"/>
      <c r="E45" s="25"/>
      <c r="F45" s="25"/>
      <c r="G45" s="2" t="str">
        <f t="shared" si="16"/>
        <v/>
      </c>
      <c r="H45" s="13" t="str">
        <f t="shared" si="17"/>
        <v/>
      </c>
      <c r="I45" t="str">
        <f t="shared" si="18"/>
        <v/>
      </c>
      <c r="J45">
        <f t="shared" si="19"/>
        <v>1.0163043478260869</v>
      </c>
      <c r="K45" t="str">
        <f t="shared" si="20"/>
        <v/>
      </c>
      <c r="L45">
        <f>PRODUCT(K2:K45)</f>
        <v>0.1302424734968155</v>
      </c>
      <c r="O45" s="3" t="e">
        <f t="shared" si="21"/>
        <v>#N/A</v>
      </c>
      <c r="P45" t="e">
        <f t="shared" si="22"/>
        <v>#N/A</v>
      </c>
      <c r="Q45">
        <f t="shared" si="15"/>
        <v>-0.69314718055994529</v>
      </c>
      <c r="R45" t="e">
        <f t="shared" si="23"/>
        <v>#N/A</v>
      </c>
      <c r="S45" t="e">
        <f t="shared" si="24"/>
        <v>#N/A</v>
      </c>
      <c r="T45" t="e">
        <f t="shared" si="25"/>
        <v>#N/A</v>
      </c>
      <c r="U45" t="e">
        <f t="shared" si="26"/>
        <v>#N/A</v>
      </c>
      <c r="V45" t="e">
        <f t="shared" si="27"/>
        <v>#N/A</v>
      </c>
      <c r="W45" t="e">
        <f t="shared" si="28"/>
        <v>#N/A</v>
      </c>
      <c r="X45" t="str">
        <f t="shared" si="29"/>
        <v/>
      </c>
      <c r="Y45" t="str">
        <f t="shared" si="30"/>
        <v/>
      </c>
      <c r="AG45" s="1"/>
    </row>
    <row r="46" spans="1:33" x14ac:dyDescent="0.25">
      <c r="A46" s="3">
        <v>45</v>
      </c>
      <c r="B46" s="17"/>
      <c r="D46" s="33"/>
      <c r="E46" s="21"/>
      <c r="F46" s="21"/>
      <c r="G46" s="2" t="str">
        <f t="shared" si="16"/>
        <v/>
      </c>
      <c r="H46" s="13" t="str">
        <f t="shared" si="17"/>
        <v/>
      </c>
      <c r="I46" t="str">
        <f t="shared" si="18"/>
        <v/>
      </c>
      <c r="J46">
        <f t="shared" si="19"/>
        <v>1.0163043478260869</v>
      </c>
      <c r="K46" t="str">
        <f t="shared" si="20"/>
        <v/>
      </c>
      <c r="L46">
        <f>PRODUCT(K2:K46)</f>
        <v>0.1302424734968155</v>
      </c>
      <c r="O46" s="3" t="e">
        <f t="shared" si="21"/>
        <v>#N/A</v>
      </c>
      <c r="P46" t="e">
        <f t="shared" si="22"/>
        <v>#N/A</v>
      </c>
      <c r="Q46">
        <f t="shared" si="15"/>
        <v>-0.69314718055994529</v>
      </c>
      <c r="R46" t="e">
        <f t="shared" si="23"/>
        <v>#N/A</v>
      </c>
      <c r="S46" t="e">
        <f t="shared" si="24"/>
        <v>#N/A</v>
      </c>
      <c r="T46" t="e">
        <f t="shared" si="25"/>
        <v>#N/A</v>
      </c>
      <c r="U46" t="e">
        <f t="shared" si="26"/>
        <v>#N/A</v>
      </c>
      <c r="V46" t="e">
        <f t="shared" si="27"/>
        <v>#N/A</v>
      </c>
      <c r="W46" t="e">
        <f t="shared" si="28"/>
        <v>#N/A</v>
      </c>
      <c r="X46" t="str">
        <f t="shared" si="29"/>
        <v/>
      </c>
      <c r="Y46" t="str">
        <f t="shared" si="30"/>
        <v/>
      </c>
      <c r="AG46" s="1"/>
    </row>
    <row r="47" spans="1:33" x14ac:dyDescent="0.25">
      <c r="A47" s="3">
        <v>46</v>
      </c>
      <c r="B47" s="17"/>
      <c r="D47" s="33"/>
      <c r="E47" s="21"/>
      <c r="F47" s="21"/>
      <c r="G47" s="2" t="str">
        <f t="shared" si="16"/>
        <v/>
      </c>
      <c r="H47" s="13" t="str">
        <f t="shared" si="17"/>
        <v/>
      </c>
      <c r="I47" t="str">
        <f t="shared" si="18"/>
        <v/>
      </c>
      <c r="J47">
        <f t="shared" si="19"/>
        <v>1.0163043478260869</v>
      </c>
      <c r="K47" t="str">
        <f t="shared" si="20"/>
        <v/>
      </c>
      <c r="L47">
        <f>PRODUCT(K2:K47)</f>
        <v>0.1302424734968155</v>
      </c>
      <c r="O47" s="3" t="e">
        <f t="shared" si="21"/>
        <v>#N/A</v>
      </c>
      <c r="P47" t="e">
        <f t="shared" si="22"/>
        <v>#N/A</v>
      </c>
      <c r="Q47">
        <f t="shared" si="15"/>
        <v>-0.69314718055994529</v>
      </c>
      <c r="R47" t="e">
        <f t="shared" si="23"/>
        <v>#N/A</v>
      </c>
      <c r="S47" t="e">
        <f t="shared" si="24"/>
        <v>#N/A</v>
      </c>
      <c r="T47" t="e">
        <f t="shared" si="25"/>
        <v>#N/A</v>
      </c>
      <c r="U47" t="e">
        <f t="shared" si="26"/>
        <v>#N/A</v>
      </c>
      <c r="V47" t="e">
        <f t="shared" si="27"/>
        <v>#N/A</v>
      </c>
      <c r="W47" t="e">
        <f t="shared" si="28"/>
        <v>#N/A</v>
      </c>
      <c r="X47" t="str">
        <f t="shared" si="29"/>
        <v/>
      </c>
      <c r="Y47" t="str">
        <f t="shared" si="30"/>
        <v/>
      </c>
      <c r="AG47" s="1"/>
    </row>
    <row r="48" spans="1:33" x14ac:dyDescent="0.25">
      <c r="A48" s="3">
        <v>47</v>
      </c>
      <c r="B48" s="17"/>
      <c r="D48" s="33"/>
      <c r="E48" s="21"/>
      <c r="F48" s="21"/>
      <c r="G48" s="2" t="str">
        <f t="shared" si="16"/>
        <v/>
      </c>
      <c r="H48" s="13" t="str">
        <f t="shared" si="17"/>
        <v/>
      </c>
      <c r="I48" t="str">
        <f t="shared" si="18"/>
        <v/>
      </c>
      <c r="J48">
        <f t="shared" si="19"/>
        <v>1.0163043478260869</v>
      </c>
      <c r="K48" t="str">
        <f t="shared" si="20"/>
        <v/>
      </c>
      <c r="L48">
        <f>PRODUCT(K2:K48)</f>
        <v>0.1302424734968155</v>
      </c>
      <c r="O48" s="3" t="e">
        <f t="shared" si="21"/>
        <v>#N/A</v>
      </c>
      <c r="P48" t="e">
        <f t="shared" si="22"/>
        <v>#N/A</v>
      </c>
      <c r="Q48">
        <f t="shared" si="15"/>
        <v>-0.69314718055994529</v>
      </c>
      <c r="R48" t="e">
        <f t="shared" si="23"/>
        <v>#N/A</v>
      </c>
      <c r="S48" t="e">
        <f t="shared" si="24"/>
        <v>#N/A</v>
      </c>
      <c r="T48" t="e">
        <f t="shared" si="25"/>
        <v>#N/A</v>
      </c>
      <c r="U48" t="e">
        <f t="shared" si="26"/>
        <v>#N/A</v>
      </c>
      <c r="V48" t="e">
        <f t="shared" si="27"/>
        <v>#N/A</v>
      </c>
      <c r="W48" t="e">
        <f t="shared" si="28"/>
        <v>#N/A</v>
      </c>
      <c r="X48" t="str">
        <f t="shared" si="29"/>
        <v/>
      </c>
      <c r="Y48" t="str">
        <f t="shared" si="30"/>
        <v/>
      </c>
      <c r="AG48" s="1"/>
    </row>
    <row r="49" spans="1:33" x14ac:dyDescent="0.25">
      <c r="A49" s="3">
        <v>48</v>
      </c>
      <c r="B49" s="17"/>
      <c r="D49" s="33"/>
      <c r="E49" s="21"/>
      <c r="F49" s="21"/>
      <c r="G49" s="2" t="str">
        <f t="shared" si="16"/>
        <v/>
      </c>
      <c r="H49" s="13" t="str">
        <f t="shared" si="17"/>
        <v/>
      </c>
      <c r="I49" t="str">
        <f t="shared" si="18"/>
        <v/>
      </c>
      <c r="J49">
        <f t="shared" si="19"/>
        <v>1.0163043478260869</v>
      </c>
      <c r="K49" t="str">
        <f t="shared" si="20"/>
        <v/>
      </c>
      <c r="L49">
        <f>PRODUCT(K2:K49)</f>
        <v>0.1302424734968155</v>
      </c>
      <c r="O49" s="3" t="e">
        <f t="shared" si="21"/>
        <v>#N/A</v>
      </c>
      <c r="P49" t="e">
        <f t="shared" si="22"/>
        <v>#N/A</v>
      </c>
      <c r="Q49">
        <f t="shared" si="15"/>
        <v>-0.69314718055994529</v>
      </c>
      <c r="R49" t="e">
        <f t="shared" si="23"/>
        <v>#N/A</v>
      </c>
      <c r="S49" t="e">
        <f t="shared" si="24"/>
        <v>#N/A</v>
      </c>
      <c r="T49" t="e">
        <f t="shared" si="25"/>
        <v>#N/A</v>
      </c>
      <c r="U49" t="e">
        <f t="shared" si="26"/>
        <v>#N/A</v>
      </c>
      <c r="V49" t="e">
        <f t="shared" si="27"/>
        <v>#N/A</v>
      </c>
      <c r="W49" t="e">
        <f t="shared" si="28"/>
        <v>#N/A</v>
      </c>
      <c r="X49" t="str">
        <f t="shared" si="29"/>
        <v/>
      </c>
      <c r="Y49" t="str">
        <f t="shared" si="30"/>
        <v/>
      </c>
      <c r="AG49" s="1"/>
    </row>
    <row r="50" spans="1:33" ht="15.75" thickBot="1" x14ac:dyDescent="0.3">
      <c r="A50" s="3">
        <v>49</v>
      </c>
      <c r="B50" s="18"/>
      <c r="C50" s="34"/>
      <c r="D50" s="35"/>
      <c r="E50" s="21"/>
      <c r="F50" s="21"/>
      <c r="G50" s="2" t="str">
        <f t="shared" si="16"/>
        <v/>
      </c>
      <c r="H50" s="13" t="str">
        <f t="shared" si="17"/>
        <v/>
      </c>
      <c r="I50" t="str">
        <f t="shared" si="18"/>
        <v/>
      </c>
      <c r="J50">
        <f t="shared" si="19"/>
        <v>1.0163043478260869</v>
      </c>
      <c r="K50" t="str">
        <f t="shared" si="20"/>
        <v/>
      </c>
      <c r="L50">
        <f>PRODUCT(K2:K50)</f>
        <v>0.1302424734968155</v>
      </c>
      <c r="O50" s="3" t="e">
        <f t="shared" si="21"/>
        <v>#N/A</v>
      </c>
      <c r="P50" t="e">
        <f t="shared" si="22"/>
        <v>#N/A</v>
      </c>
      <c r="Q50">
        <f t="shared" si="15"/>
        <v>-0.69314718055994529</v>
      </c>
      <c r="R50" t="e">
        <f t="shared" si="23"/>
        <v>#N/A</v>
      </c>
      <c r="S50" t="e">
        <f t="shared" si="24"/>
        <v>#N/A</v>
      </c>
      <c r="T50" t="e">
        <f t="shared" si="25"/>
        <v>#N/A</v>
      </c>
      <c r="U50" t="e">
        <f t="shared" si="26"/>
        <v>#N/A</v>
      </c>
      <c r="V50" t="e">
        <f t="shared" si="27"/>
        <v>#N/A</v>
      </c>
      <c r="W50" t="e">
        <f t="shared" si="28"/>
        <v>#N/A</v>
      </c>
      <c r="X50" t="str">
        <f t="shared" si="29"/>
        <v/>
      </c>
      <c r="Y50" t="str">
        <f t="shared" si="30"/>
        <v/>
      </c>
      <c r="AG50" s="1"/>
    </row>
    <row r="51" spans="1:33" x14ac:dyDescent="0.25">
      <c r="H51" s="16"/>
      <c r="I51" t="str">
        <f t="shared" si="18"/>
        <v/>
      </c>
    </row>
    <row r="52" spans="1:33" x14ac:dyDescent="0.25">
      <c r="D52" s="27"/>
      <c r="E52" s="27"/>
      <c r="F52" s="27"/>
      <c r="G52" s="6"/>
    </row>
    <row r="53" spans="1:33" x14ac:dyDescent="0.25">
      <c r="D53" s="27"/>
      <c r="E53" s="27"/>
      <c r="F53" s="27"/>
      <c r="G53" s="6"/>
    </row>
    <row r="54" spans="1:33" x14ac:dyDescent="0.25">
      <c r="D54" s="27"/>
      <c r="E54" s="27"/>
      <c r="F54" s="27"/>
      <c r="G54" s="6"/>
    </row>
    <row r="55" spans="1:33" x14ac:dyDescent="0.25">
      <c r="D55" s="27"/>
      <c r="E55" s="27"/>
      <c r="F55" s="27"/>
      <c r="G55" s="6"/>
    </row>
    <row r="56" spans="1:33" x14ac:dyDescent="0.25">
      <c r="D56" s="27"/>
      <c r="E56" s="27"/>
      <c r="F56" s="27"/>
      <c r="G56" s="6"/>
    </row>
    <row r="57" spans="1:33" x14ac:dyDescent="0.25">
      <c r="D57" s="27"/>
      <c r="E57" s="27"/>
      <c r="F57" s="27"/>
      <c r="G57" s="6"/>
    </row>
    <row r="58" spans="1:33" x14ac:dyDescent="0.25">
      <c r="D58" s="27"/>
      <c r="E58" s="27"/>
      <c r="F58" s="27"/>
      <c r="G58" s="6"/>
    </row>
    <row r="59" spans="1:33" x14ac:dyDescent="0.25">
      <c r="D59" s="27"/>
      <c r="E59" s="27"/>
      <c r="F59" s="27"/>
      <c r="G59" s="6"/>
    </row>
    <row r="60" spans="1:33" x14ac:dyDescent="0.25">
      <c r="D60" s="27"/>
      <c r="E60" s="27"/>
      <c r="F60" s="27"/>
      <c r="G60" s="6"/>
    </row>
    <row r="61" spans="1:33" x14ac:dyDescent="0.25">
      <c r="D61" s="27"/>
      <c r="E61" s="27"/>
      <c r="F61" s="27"/>
      <c r="G61" s="6"/>
    </row>
    <row r="62" spans="1:33" x14ac:dyDescent="0.25">
      <c r="D62" s="27"/>
      <c r="E62" s="27"/>
      <c r="F62" s="27"/>
      <c r="G62" s="24"/>
      <c r="H62" s="21"/>
      <c r="I62" s="9"/>
      <c r="J62" s="9"/>
      <c r="K62" s="9"/>
    </row>
    <row r="63" spans="1:33" x14ac:dyDescent="0.25">
      <c r="G63" s="21"/>
      <c r="H63" s="21"/>
      <c r="I63" s="9"/>
      <c r="J63" s="9"/>
      <c r="K63" s="9"/>
    </row>
    <row r="64" spans="1:33" x14ac:dyDescent="0.25">
      <c r="G64" s="21"/>
      <c r="H64" s="21"/>
      <c r="I64" s="9"/>
      <c r="J64" s="9"/>
      <c r="K64" s="9"/>
    </row>
    <row r="65" spans="4:11" x14ac:dyDescent="0.25">
      <c r="G65" s="21"/>
      <c r="H65" s="21"/>
      <c r="I65" s="9"/>
      <c r="J65" s="9"/>
      <c r="K65" s="9"/>
    </row>
    <row r="66" spans="4:11" x14ac:dyDescent="0.25">
      <c r="G66" s="21"/>
      <c r="H66" s="21"/>
      <c r="I66" s="9"/>
      <c r="J66" s="9"/>
      <c r="K66" s="9"/>
    </row>
    <row r="67" spans="4:11" x14ac:dyDescent="0.25">
      <c r="G67" s="21"/>
      <c r="H67" s="21"/>
      <c r="I67" s="9"/>
      <c r="J67" s="9"/>
      <c r="K67" s="9"/>
    </row>
    <row r="68" spans="4:11" x14ac:dyDescent="0.25">
      <c r="D68" s="27"/>
      <c r="E68" s="27"/>
      <c r="F68" s="27"/>
      <c r="G68" s="24"/>
      <c r="H68" s="21"/>
      <c r="I68" s="9"/>
      <c r="J68" s="9"/>
      <c r="K68" s="9"/>
    </row>
    <row r="69" spans="4:11" x14ac:dyDescent="0.25">
      <c r="D69" s="27"/>
      <c r="E69" s="27"/>
      <c r="F69" s="27"/>
      <c r="G69" s="24"/>
      <c r="H69" s="21"/>
      <c r="I69" s="9"/>
      <c r="J69" s="9"/>
      <c r="K69" s="9"/>
    </row>
    <row r="70" spans="4:11" x14ac:dyDescent="0.25">
      <c r="D70" s="27"/>
      <c r="E70" s="27"/>
      <c r="F70" s="27"/>
      <c r="G70" s="24"/>
      <c r="H70" s="21"/>
      <c r="I70" s="9"/>
      <c r="J70" s="9"/>
      <c r="K70" s="9"/>
    </row>
    <row r="71" spans="4:11" x14ac:dyDescent="0.25">
      <c r="D71" s="27"/>
      <c r="E71" s="27"/>
      <c r="F71" s="27"/>
      <c r="G71" s="24"/>
      <c r="H71" s="21"/>
      <c r="I71" s="9"/>
      <c r="J71" s="9"/>
      <c r="K71" s="9"/>
    </row>
    <row r="72" spans="4:11" x14ac:dyDescent="0.25">
      <c r="D72" s="27"/>
      <c r="E72" s="27"/>
      <c r="F72" s="27"/>
      <c r="G72" s="24"/>
      <c r="H72" s="21"/>
      <c r="I72" s="9"/>
      <c r="J72" s="9"/>
      <c r="K72" s="9"/>
    </row>
    <row r="73" spans="4:11" x14ac:dyDescent="0.25">
      <c r="D73" s="27"/>
      <c r="E73" s="27"/>
      <c r="F73" s="27"/>
      <c r="G73" s="24"/>
      <c r="H73" s="21"/>
      <c r="I73" s="9"/>
      <c r="J73" s="9"/>
      <c r="K73" s="9"/>
    </row>
    <row r="74" spans="4:11" x14ac:dyDescent="0.25">
      <c r="D74" s="27"/>
      <c r="E74" s="27"/>
      <c r="F74" s="27"/>
      <c r="G74" s="24"/>
      <c r="H74" s="21"/>
      <c r="I74" s="9"/>
      <c r="J74" s="9"/>
      <c r="K74" s="9"/>
    </row>
    <row r="75" spans="4:11" x14ac:dyDescent="0.25">
      <c r="D75" s="27"/>
      <c r="E75" s="27"/>
      <c r="F75" s="27"/>
      <c r="G75" s="24"/>
      <c r="H75" s="21"/>
      <c r="I75" s="45"/>
      <c r="J75" s="9"/>
      <c r="K75" s="9"/>
    </row>
    <row r="76" spans="4:11" x14ac:dyDescent="0.25">
      <c r="D76" s="27"/>
      <c r="E76" s="27"/>
      <c r="F76" s="27"/>
      <c r="G76" s="24"/>
      <c r="H76" s="21"/>
      <c r="I76" s="9"/>
      <c r="J76" s="9"/>
      <c r="K76" s="9"/>
    </row>
    <row r="77" spans="4:11" x14ac:dyDescent="0.25">
      <c r="D77" s="27"/>
      <c r="E77" s="27"/>
      <c r="F77" s="27"/>
      <c r="G77" s="24"/>
      <c r="H77" s="21"/>
      <c r="I77" s="9"/>
      <c r="J77" s="9"/>
      <c r="K77" s="9"/>
    </row>
    <row r="78" spans="4:11" x14ac:dyDescent="0.25">
      <c r="G78" s="21"/>
      <c r="H78" s="21"/>
      <c r="I78" s="9"/>
      <c r="J78" s="9"/>
      <c r="K78" s="9"/>
    </row>
    <row r="79" spans="4:11" x14ac:dyDescent="0.25">
      <c r="G79" s="21"/>
      <c r="H79" s="21"/>
      <c r="I79" s="9"/>
      <c r="J79" s="9"/>
      <c r="K79" s="9"/>
    </row>
    <row r="80" spans="4:11" x14ac:dyDescent="0.25">
      <c r="G80" s="21"/>
      <c r="H80" s="21"/>
      <c r="I80" s="9"/>
      <c r="J80" s="9"/>
      <c r="K80" s="9"/>
    </row>
    <row r="81" spans="4:11" x14ac:dyDescent="0.25">
      <c r="G81" s="21"/>
      <c r="H81" s="21"/>
      <c r="I81" s="9"/>
      <c r="J81" s="9"/>
      <c r="K81" s="9"/>
    </row>
    <row r="82" spans="4:11" x14ac:dyDescent="0.25">
      <c r="G82" s="21"/>
      <c r="H82" s="21"/>
      <c r="I82" s="9"/>
      <c r="J82" s="9"/>
      <c r="K82" s="9"/>
    </row>
    <row r="83" spans="4:11" x14ac:dyDescent="0.25">
      <c r="D83" s="27"/>
      <c r="E83" s="27"/>
      <c r="F83" s="27"/>
      <c r="G83" s="24"/>
      <c r="H83" s="21"/>
      <c r="I83" s="9"/>
      <c r="J83" s="9"/>
      <c r="K83" s="9"/>
    </row>
    <row r="84" spans="4:11" x14ac:dyDescent="0.25">
      <c r="D84" s="27"/>
      <c r="E84" s="27"/>
      <c r="F84" s="27"/>
      <c r="G84" s="24"/>
      <c r="H84" s="21"/>
      <c r="I84" s="9"/>
      <c r="J84" s="9"/>
      <c r="K84" s="9"/>
    </row>
    <row r="85" spans="4:11" x14ac:dyDescent="0.25">
      <c r="D85" s="27"/>
      <c r="E85" s="27"/>
      <c r="F85" s="27"/>
      <c r="G85" s="24"/>
      <c r="H85" s="21"/>
      <c r="I85" s="9"/>
      <c r="J85" s="9"/>
      <c r="K85" s="9"/>
    </row>
    <row r="86" spans="4:11" x14ac:dyDescent="0.25">
      <c r="D86" s="27"/>
      <c r="E86" s="27"/>
      <c r="F86" s="27"/>
      <c r="G86" s="24"/>
      <c r="H86" s="21"/>
      <c r="I86" s="9"/>
      <c r="J86" s="9"/>
      <c r="K86" s="9"/>
    </row>
    <row r="87" spans="4:11" x14ac:dyDescent="0.25">
      <c r="D87" s="27"/>
      <c r="E87" s="27"/>
      <c r="F87" s="27"/>
      <c r="G87" s="24"/>
      <c r="H87" s="21"/>
      <c r="I87" s="9"/>
      <c r="J87" s="9"/>
      <c r="K87" s="9"/>
    </row>
    <row r="88" spans="4:11" x14ac:dyDescent="0.25">
      <c r="D88" s="27"/>
      <c r="E88" s="27"/>
      <c r="F88" s="27"/>
      <c r="G88" s="24"/>
      <c r="H88" s="21"/>
      <c r="I88" s="9"/>
      <c r="J88" s="9"/>
      <c r="K88" s="9"/>
    </row>
    <row r="89" spans="4:11" x14ac:dyDescent="0.25">
      <c r="G89" s="21"/>
      <c r="H89" s="21"/>
      <c r="I89" s="9"/>
      <c r="J89" s="9"/>
      <c r="K89" s="9"/>
    </row>
    <row r="90" spans="4:11" x14ac:dyDescent="0.25">
      <c r="D90" s="27"/>
      <c r="E90" s="27"/>
      <c r="F90" s="27"/>
      <c r="G90" s="24"/>
      <c r="H90" s="21"/>
      <c r="I90" s="9"/>
      <c r="J90" s="9"/>
      <c r="K90" s="9"/>
    </row>
    <row r="91" spans="4:11" x14ac:dyDescent="0.25">
      <c r="G91" s="21"/>
      <c r="H91" s="21"/>
      <c r="I91" s="9"/>
      <c r="J91" s="9"/>
      <c r="K91" s="9"/>
    </row>
    <row r="92" spans="4:11" x14ac:dyDescent="0.25">
      <c r="D92" s="27"/>
      <c r="E92" s="27"/>
      <c r="F92" s="27"/>
      <c r="G92" s="24"/>
      <c r="H92" s="21"/>
      <c r="I92" s="9"/>
      <c r="J92" s="9"/>
      <c r="K92" s="9"/>
    </row>
    <row r="93" spans="4:11" x14ac:dyDescent="0.25">
      <c r="G93" s="21"/>
      <c r="H93" s="21"/>
      <c r="I93" s="9"/>
      <c r="J93" s="9"/>
      <c r="K93" s="9"/>
    </row>
    <row r="94" spans="4:11" x14ac:dyDescent="0.25">
      <c r="G94" s="21"/>
      <c r="H94" s="21"/>
      <c r="I94" s="9"/>
      <c r="J94" s="9"/>
      <c r="K94" s="9"/>
    </row>
    <row r="95" spans="4:11" x14ac:dyDescent="0.25">
      <c r="G95" s="21"/>
      <c r="H95" s="21"/>
      <c r="I95" s="9"/>
      <c r="J95" s="9"/>
      <c r="K95" s="9"/>
    </row>
    <row r="96" spans="4:11" x14ac:dyDescent="0.25">
      <c r="G96" s="21"/>
      <c r="H96" s="21"/>
      <c r="I96" s="9"/>
      <c r="J96" s="9"/>
      <c r="K96" s="9"/>
    </row>
    <row r="97" spans="4:11" x14ac:dyDescent="0.25">
      <c r="D97" s="27"/>
      <c r="E97" s="27"/>
      <c r="F97" s="27"/>
      <c r="G97" s="24"/>
      <c r="H97" s="21"/>
      <c r="I97" s="9"/>
      <c r="J97" s="9"/>
      <c r="K97" s="9"/>
    </row>
    <row r="98" spans="4:11" x14ac:dyDescent="0.25">
      <c r="D98" s="27"/>
      <c r="E98" s="27"/>
      <c r="F98" s="27"/>
      <c r="G98" s="24"/>
      <c r="H98" s="21"/>
      <c r="I98" s="9"/>
      <c r="J98" s="9"/>
      <c r="K98" s="9"/>
    </row>
    <row r="99" spans="4:11" x14ac:dyDescent="0.25">
      <c r="D99" s="27"/>
      <c r="E99" s="27"/>
      <c r="F99" s="27"/>
      <c r="G99" s="24"/>
      <c r="H99" s="21"/>
      <c r="I99" s="9"/>
      <c r="J99" s="9"/>
      <c r="K99" s="9"/>
    </row>
    <row r="100" spans="4:11" x14ac:dyDescent="0.25">
      <c r="D100" s="27"/>
      <c r="E100" s="27"/>
      <c r="F100" s="27"/>
      <c r="G100" s="24"/>
      <c r="H100" s="21"/>
      <c r="I100" s="9"/>
      <c r="J100" s="9"/>
      <c r="K100" s="9"/>
    </row>
    <row r="101" spans="4:11" x14ac:dyDescent="0.25">
      <c r="D101" s="27"/>
      <c r="E101" s="27"/>
      <c r="F101" s="27"/>
      <c r="G101" s="24"/>
      <c r="H101" s="21"/>
      <c r="I101" s="9"/>
      <c r="J101" s="9"/>
      <c r="K101" s="9"/>
    </row>
    <row r="102" spans="4:11" x14ac:dyDescent="0.25">
      <c r="D102" s="27"/>
      <c r="E102" s="27"/>
      <c r="F102" s="27"/>
      <c r="G102" s="24"/>
      <c r="H102" s="21"/>
      <c r="I102" s="9"/>
      <c r="J102" s="9"/>
      <c r="K102" s="9"/>
    </row>
    <row r="103" spans="4:11" x14ac:dyDescent="0.25">
      <c r="D103" s="27"/>
      <c r="E103" s="27"/>
      <c r="F103" s="27"/>
      <c r="G103" s="24"/>
      <c r="H103" s="21"/>
      <c r="I103" s="9"/>
      <c r="J103" s="9"/>
      <c r="K103" s="9"/>
    </row>
    <row r="104" spans="4:11" x14ac:dyDescent="0.25">
      <c r="D104" s="27"/>
      <c r="E104" s="27"/>
      <c r="F104" s="27"/>
      <c r="G104" s="24"/>
      <c r="H104" s="21"/>
      <c r="I104" s="45"/>
      <c r="J104" s="9"/>
      <c r="K104" s="9"/>
    </row>
    <row r="105" spans="4:11" x14ac:dyDescent="0.25">
      <c r="D105" s="27"/>
      <c r="E105" s="27"/>
      <c r="F105" s="27"/>
      <c r="G105" s="24"/>
      <c r="H105" s="21"/>
      <c r="I105" s="9"/>
      <c r="J105" s="9"/>
      <c r="K105" s="9"/>
    </row>
    <row r="106" spans="4:11" x14ac:dyDescent="0.25">
      <c r="D106" s="27"/>
      <c r="E106" s="27"/>
      <c r="F106" s="27"/>
      <c r="G106" s="24"/>
      <c r="H106" s="21"/>
      <c r="I106" s="9"/>
      <c r="J106" s="9"/>
      <c r="K106" s="9"/>
    </row>
    <row r="107" spans="4:11" x14ac:dyDescent="0.25">
      <c r="G107" s="21"/>
      <c r="H107" s="21"/>
      <c r="I107" s="9"/>
      <c r="J107" s="9"/>
      <c r="K107" s="9"/>
    </row>
    <row r="108" spans="4:11" x14ac:dyDescent="0.25">
      <c r="G108" s="21"/>
      <c r="H108" s="21"/>
      <c r="I108" s="9"/>
      <c r="J108" s="9"/>
      <c r="K108" s="9"/>
    </row>
    <row r="109" spans="4:11" x14ac:dyDescent="0.25">
      <c r="G109" s="21"/>
      <c r="H109" s="21"/>
      <c r="I109" s="9"/>
      <c r="J109" s="9"/>
      <c r="K109" s="9"/>
    </row>
    <row r="110" spans="4:11" x14ac:dyDescent="0.25">
      <c r="G110" s="21"/>
      <c r="H110" s="21"/>
      <c r="I110" s="9"/>
      <c r="J110" s="9"/>
      <c r="K110" s="9"/>
    </row>
    <row r="111" spans="4:11" x14ac:dyDescent="0.25">
      <c r="G111" s="21"/>
      <c r="H111" s="21"/>
      <c r="I111" s="9"/>
      <c r="J111" s="9"/>
      <c r="K111" s="9"/>
    </row>
    <row r="112" spans="4:11" x14ac:dyDescent="0.25">
      <c r="G112" s="21"/>
      <c r="H112" s="21"/>
      <c r="I112" s="9"/>
      <c r="J112" s="9"/>
      <c r="K112" s="9"/>
    </row>
    <row r="113" spans="4:11" x14ac:dyDescent="0.25">
      <c r="G113" s="21"/>
      <c r="H113" s="21"/>
      <c r="I113" s="9"/>
      <c r="J113" s="9"/>
      <c r="K113" s="9"/>
    </row>
    <row r="114" spans="4:11" x14ac:dyDescent="0.25">
      <c r="G114" s="21"/>
      <c r="H114" s="21"/>
      <c r="I114" s="9"/>
      <c r="J114" s="9"/>
      <c r="K114" s="9"/>
    </row>
    <row r="115" spans="4:11" x14ac:dyDescent="0.25">
      <c r="G115" s="21"/>
      <c r="H115" s="21"/>
      <c r="I115" s="9"/>
      <c r="J115" s="9"/>
      <c r="K115" s="9"/>
    </row>
    <row r="116" spans="4:11" x14ac:dyDescent="0.25">
      <c r="G116" s="21"/>
      <c r="H116" s="21"/>
      <c r="I116" s="9"/>
      <c r="J116" s="9"/>
      <c r="K116" s="9"/>
    </row>
    <row r="117" spans="4:11" x14ac:dyDescent="0.25">
      <c r="D117" s="27"/>
      <c r="E117" s="27"/>
      <c r="F117" s="27"/>
      <c r="G117" s="24"/>
      <c r="H117" s="21"/>
      <c r="I117" s="9"/>
      <c r="J117" s="9"/>
      <c r="K117" s="9"/>
    </row>
    <row r="118" spans="4:11" x14ac:dyDescent="0.25">
      <c r="D118" s="27"/>
      <c r="E118" s="27"/>
      <c r="F118" s="27"/>
      <c r="G118" s="24"/>
      <c r="H118" s="21"/>
      <c r="I118" s="9"/>
      <c r="J118" s="9"/>
      <c r="K118" s="9"/>
    </row>
    <row r="119" spans="4:11" x14ac:dyDescent="0.25">
      <c r="D119" s="27"/>
      <c r="E119" s="27"/>
      <c r="F119" s="27"/>
      <c r="G119" s="24"/>
      <c r="H119" s="21"/>
      <c r="I119" s="9"/>
      <c r="J119" s="9"/>
      <c r="K119" s="9"/>
    </row>
    <row r="120" spans="4:11" x14ac:dyDescent="0.25">
      <c r="D120" s="27"/>
      <c r="E120" s="27"/>
      <c r="F120" s="27"/>
      <c r="G120" s="24"/>
      <c r="H120" s="21"/>
      <c r="I120" s="9"/>
      <c r="J120" s="9"/>
      <c r="K120" s="9"/>
    </row>
    <row r="121" spans="4:11" x14ac:dyDescent="0.25">
      <c r="D121" s="27"/>
      <c r="E121" s="27"/>
      <c r="F121" s="27"/>
      <c r="G121" s="24"/>
      <c r="H121" s="21"/>
      <c r="I121" s="9"/>
      <c r="J121" s="9"/>
      <c r="K121" s="9"/>
    </row>
    <row r="122" spans="4:11" x14ac:dyDescent="0.25">
      <c r="D122" s="27"/>
      <c r="E122" s="27"/>
      <c r="F122" s="27"/>
      <c r="G122" s="24"/>
      <c r="H122" s="21"/>
      <c r="I122" s="9"/>
      <c r="J122" s="9"/>
      <c r="K122" s="9"/>
    </row>
    <row r="123" spans="4:11" x14ac:dyDescent="0.25">
      <c r="D123" s="27"/>
      <c r="E123" s="27"/>
      <c r="F123" s="27"/>
      <c r="G123" s="24"/>
      <c r="H123" s="21"/>
      <c r="I123" s="9"/>
      <c r="J123" s="9"/>
      <c r="K123" s="9"/>
    </row>
    <row r="124" spans="4:11" x14ac:dyDescent="0.25">
      <c r="D124" s="27"/>
      <c r="E124" s="27"/>
      <c r="F124" s="27"/>
      <c r="G124" s="24"/>
      <c r="H124" s="21"/>
      <c r="I124" s="9"/>
      <c r="J124" s="9"/>
      <c r="K124" s="9"/>
    </row>
    <row r="125" spans="4:11" x14ac:dyDescent="0.25">
      <c r="D125" s="27"/>
      <c r="E125" s="27"/>
      <c r="F125" s="27"/>
      <c r="G125" s="24"/>
      <c r="H125" s="22"/>
      <c r="I125" s="45"/>
      <c r="J125" s="9"/>
      <c r="K125" s="9"/>
    </row>
    <row r="126" spans="4:11" x14ac:dyDescent="0.25">
      <c r="D126" s="27"/>
      <c r="E126" s="27"/>
      <c r="F126" s="27"/>
      <c r="G126" s="24"/>
      <c r="H126" s="21"/>
      <c r="I126" s="9"/>
      <c r="J126" s="9"/>
      <c r="K126" s="9"/>
    </row>
    <row r="127" spans="4:11" x14ac:dyDescent="0.25">
      <c r="D127" s="27"/>
      <c r="E127" s="27"/>
      <c r="F127" s="27"/>
      <c r="G127" s="24"/>
      <c r="H127" s="21"/>
      <c r="I127" s="9"/>
      <c r="J127" s="9"/>
      <c r="K127" s="9"/>
    </row>
    <row r="128" spans="4:11" x14ac:dyDescent="0.25">
      <c r="D128" s="27"/>
      <c r="E128" s="27"/>
      <c r="F128" s="27"/>
      <c r="G128" s="24"/>
      <c r="H128" s="21"/>
      <c r="I128" s="9"/>
      <c r="J128" s="9"/>
      <c r="K128" s="9"/>
    </row>
    <row r="129" spans="4:11" x14ac:dyDescent="0.25">
      <c r="D129" s="27"/>
      <c r="E129" s="27"/>
      <c r="F129" s="27"/>
      <c r="G129" s="24"/>
      <c r="H129" s="21"/>
      <c r="I129" s="9"/>
      <c r="J129" s="9"/>
      <c r="K129" s="9"/>
    </row>
    <row r="130" spans="4:11" x14ac:dyDescent="0.25">
      <c r="D130" s="27"/>
      <c r="E130" s="27"/>
      <c r="F130" s="27"/>
      <c r="G130" s="24"/>
      <c r="H130" s="21"/>
      <c r="I130" s="9"/>
      <c r="J130" s="9"/>
      <c r="K130" s="9"/>
    </row>
    <row r="131" spans="4:11" x14ac:dyDescent="0.25">
      <c r="D131" s="27"/>
      <c r="E131" s="27"/>
      <c r="F131" s="27"/>
      <c r="G131" s="24"/>
      <c r="H131" s="21"/>
      <c r="I131" s="9"/>
      <c r="J131" s="9"/>
      <c r="K131" s="9"/>
    </row>
    <row r="132" spans="4:11" x14ac:dyDescent="0.25">
      <c r="D132" s="27"/>
      <c r="E132" s="27"/>
      <c r="F132" s="27"/>
      <c r="G132" s="24"/>
      <c r="H132" s="21"/>
      <c r="I132" s="9"/>
      <c r="J132" s="9"/>
      <c r="K132" s="9"/>
    </row>
    <row r="133" spans="4:11" x14ac:dyDescent="0.25">
      <c r="D133" s="27"/>
      <c r="E133" s="27"/>
      <c r="F133" s="27"/>
      <c r="G133" s="24"/>
      <c r="H133" s="21"/>
      <c r="I133" s="9"/>
      <c r="J133" s="9"/>
      <c r="K133" s="9"/>
    </row>
    <row r="134" spans="4:11" x14ac:dyDescent="0.25">
      <c r="D134" s="27"/>
      <c r="E134" s="27"/>
      <c r="F134" s="27"/>
      <c r="G134" s="24"/>
      <c r="H134" s="21"/>
      <c r="I134" s="9"/>
      <c r="J134" s="9"/>
      <c r="K134" s="9"/>
    </row>
    <row r="135" spans="4:11" x14ac:dyDescent="0.25">
      <c r="D135" s="27"/>
      <c r="E135" s="27"/>
      <c r="F135" s="27"/>
      <c r="G135" s="24"/>
      <c r="H135" s="21"/>
      <c r="I135" s="9"/>
      <c r="J135" s="9"/>
      <c r="K135" s="9"/>
    </row>
    <row r="136" spans="4:11" x14ac:dyDescent="0.25">
      <c r="D136" s="27"/>
      <c r="E136" s="27"/>
      <c r="F136" s="27"/>
      <c r="G136" s="24"/>
      <c r="H136" s="21"/>
      <c r="I136" s="9"/>
      <c r="J136" s="9"/>
      <c r="K136" s="9"/>
    </row>
    <row r="137" spans="4:11" x14ac:dyDescent="0.25">
      <c r="D137" s="27"/>
      <c r="E137" s="27"/>
      <c r="F137" s="27"/>
      <c r="G137" s="24"/>
      <c r="H137" s="21"/>
      <c r="I137" s="9"/>
      <c r="J137" s="9"/>
      <c r="K137" s="9"/>
    </row>
    <row r="138" spans="4:11" x14ac:dyDescent="0.25">
      <c r="D138" s="27"/>
      <c r="E138" s="27"/>
      <c r="F138" s="27"/>
      <c r="G138" s="24"/>
      <c r="H138" s="21"/>
      <c r="I138" s="9"/>
      <c r="J138" s="9"/>
      <c r="K138" s="9"/>
    </row>
    <row r="139" spans="4:11" x14ac:dyDescent="0.25">
      <c r="D139" s="27"/>
      <c r="E139" s="27"/>
      <c r="F139" s="27"/>
      <c r="G139" s="24"/>
      <c r="H139" s="21"/>
      <c r="I139" s="9"/>
      <c r="J139" s="9"/>
      <c r="K139" s="9"/>
    </row>
    <row r="140" spans="4:11" x14ac:dyDescent="0.25">
      <c r="D140" s="27"/>
      <c r="E140" s="27"/>
      <c r="F140" s="27"/>
      <c r="G140" s="24"/>
      <c r="H140" s="21"/>
      <c r="I140" s="9"/>
      <c r="J140" s="9"/>
      <c r="K140" s="9"/>
    </row>
    <row r="141" spans="4:11" x14ac:dyDescent="0.25">
      <c r="D141" s="27"/>
      <c r="E141" s="27"/>
      <c r="F141" s="27"/>
      <c r="G141" s="24"/>
      <c r="H141" s="21"/>
      <c r="I141" s="9"/>
      <c r="J141" s="9"/>
      <c r="K141" s="9"/>
    </row>
    <row r="142" spans="4:11" x14ac:dyDescent="0.25">
      <c r="D142" s="27"/>
      <c r="E142" s="27"/>
      <c r="F142" s="27"/>
      <c r="G142" s="24"/>
      <c r="H142" s="21"/>
      <c r="I142" s="9"/>
      <c r="J142" s="9"/>
      <c r="K142" s="9"/>
    </row>
    <row r="143" spans="4:11" x14ac:dyDescent="0.25">
      <c r="D143" s="27"/>
      <c r="E143" s="27"/>
      <c r="F143" s="27"/>
      <c r="G143" s="24"/>
      <c r="H143" s="21"/>
      <c r="I143" s="9"/>
      <c r="J143" s="9"/>
      <c r="K143" s="9"/>
    </row>
    <row r="144" spans="4:11" x14ac:dyDescent="0.25">
      <c r="D144" s="27"/>
      <c r="E144" s="27"/>
      <c r="F144" s="27"/>
      <c r="G144" s="24"/>
      <c r="H144" s="21"/>
      <c r="I144" s="9"/>
      <c r="J144" s="9"/>
      <c r="K144" s="9"/>
    </row>
    <row r="145" spans="4:11" x14ac:dyDescent="0.25">
      <c r="D145" s="27"/>
      <c r="E145" s="27"/>
      <c r="F145" s="27"/>
      <c r="G145" s="24"/>
      <c r="H145" s="21"/>
      <c r="I145" s="9"/>
      <c r="J145" s="9"/>
      <c r="K145" s="9"/>
    </row>
    <row r="146" spans="4:11" x14ac:dyDescent="0.25">
      <c r="D146" s="27"/>
      <c r="E146" s="27"/>
      <c r="F146" s="27"/>
      <c r="G146" s="24"/>
      <c r="H146" s="22"/>
      <c r="I146" s="45"/>
      <c r="J146" s="9"/>
      <c r="K146" s="9"/>
    </row>
    <row r="147" spans="4:11" x14ac:dyDescent="0.25">
      <c r="D147" s="27"/>
      <c r="E147" s="27"/>
      <c r="F147" s="27"/>
      <c r="G147" s="24"/>
      <c r="H147" s="21"/>
      <c r="I147" s="9"/>
      <c r="J147" s="9"/>
      <c r="K147" s="9"/>
    </row>
    <row r="148" spans="4:11" x14ac:dyDescent="0.25">
      <c r="D148" s="27"/>
      <c r="E148" s="27"/>
      <c r="F148" s="27"/>
      <c r="G148" s="24"/>
      <c r="H148" s="21"/>
      <c r="I148" s="9"/>
      <c r="J148" s="9"/>
      <c r="K148" s="9"/>
    </row>
    <row r="149" spans="4:11" x14ac:dyDescent="0.25">
      <c r="D149" s="27"/>
      <c r="E149" s="27"/>
      <c r="F149" s="27"/>
      <c r="G149" s="24"/>
      <c r="H149" s="21"/>
      <c r="I149" s="9"/>
      <c r="J149" s="9"/>
      <c r="K149" s="9"/>
    </row>
    <row r="150" spans="4:11" x14ac:dyDescent="0.25">
      <c r="D150" s="27"/>
      <c r="E150" s="27"/>
      <c r="F150" s="27"/>
      <c r="G150" s="24"/>
      <c r="H150" s="21"/>
      <c r="I150" s="9"/>
      <c r="J150" s="9"/>
      <c r="K150" s="9"/>
    </row>
    <row r="151" spans="4:11" x14ac:dyDescent="0.25">
      <c r="D151" s="27"/>
      <c r="E151" s="27"/>
      <c r="F151" s="27"/>
      <c r="G151" s="24"/>
      <c r="H151" s="21"/>
      <c r="I151" s="9"/>
      <c r="J151" s="9"/>
      <c r="K151" s="9"/>
    </row>
    <row r="152" spans="4:11" x14ac:dyDescent="0.25">
      <c r="D152" s="27"/>
      <c r="E152" s="27"/>
      <c r="F152" s="27"/>
      <c r="G152" s="24"/>
      <c r="H152" s="21"/>
      <c r="I152" s="9"/>
      <c r="J152" s="9"/>
      <c r="K152" s="9"/>
    </row>
    <row r="153" spans="4:11" x14ac:dyDescent="0.25">
      <c r="D153" s="27"/>
      <c r="E153" s="27"/>
      <c r="F153" s="27"/>
      <c r="G153" s="24"/>
      <c r="H153" s="21"/>
      <c r="I153" s="9"/>
      <c r="J153" s="9"/>
      <c r="K153" s="9"/>
    </row>
    <row r="154" spans="4:11" x14ac:dyDescent="0.25">
      <c r="D154" s="27"/>
      <c r="E154" s="27"/>
      <c r="F154" s="27"/>
      <c r="G154" s="24"/>
      <c r="H154" s="21"/>
      <c r="I154" s="9"/>
      <c r="J154" s="9"/>
      <c r="K154" s="9"/>
    </row>
    <row r="155" spans="4:11" x14ac:dyDescent="0.25">
      <c r="D155" s="27"/>
      <c r="E155" s="27"/>
      <c r="F155" s="27"/>
      <c r="G155" s="24"/>
      <c r="H155" s="21"/>
      <c r="I155" s="9"/>
      <c r="J155" s="9"/>
      <c r="K155" s="9"/>
    </row>
    <row r="156" spans="4:11" x14ac:dyDescent="0.25">
      <c r="D156" s="27"/>
      <c r="E156" s="27"/>
      <c r="F156" s="27"/>
      <c r="G156" s="24"/>
      <c r="H156" s="21"/>
      <c r="I156" s="9"/>
      <c r="J156" s="9"/>
      <c r="K156" s="9"/>
    </row>
    <row r="157" spans="4:11" x14ac:dyDescent="0.25">
      <c r="D157" s="27"/>
      <c r="E157" s="27"/>
      <c r="F157" s="27"/>
      <c r="G157" s="24"/>
      <c r="H157" s="21"/>
      <c r="I157" s="9"/>
      <c r="J157" s="9"/>
      <c r="K157" s="9"/>
    </row>
    <row r="158" spans="4:11" x14ac:dyDescent="0.25">
      <c r="D158" s="27"/>
      <c r="E158" s="27"/>
      <c r="F158" s="27"/>
      <c r="G158" s="6"/>
    </row>
    <row r="159" spans="4:11" x14ac:dyDescent="0.25">
      <c r="D159" s="27"/>
      <c r="E159" s="27"/>
      <c r="F159" s="27"/>
      <c r="G159" s="6"/>
    </row>
    <row r="160" spans="4:11" x14ac:dyDescent="0.25">
      <c r="D160" s="27"/>
      <c r="E160" s="27"/>
      <c r="F160" s="27"/>
      <c r="G160" s="6"/>
    </row>
    <row r="161" spans="4:9" x14ac:dyDescent="0.25">
      <c r="D161" s="27"/>
      <c r="E161" s="27"/>
      <c r="F161" s="27"/>
      <c r="G161" s="6"/>
    </row>
    <row r="162" spans="4:9" x14ac:dyDescent="0.25">
      <c r="D162" s="27"/>
      <c r="E162" s="27"/>
      <c r="F162" s="27"/>
      <c r="G162" s="6"/>
    </row>
    <row r="163" spans="4:9" x14ac:dyDescent="0.25">
      <c r="D163" s="27"/>
      <c r="E163" s="27"/>
      <c r="F163" s="27"/>
      <c r="G163" s="6"/>
    </row>
    <row r="164" spans="4:9" x14ac:dyDescent="0.25">
      <c r="D164" s="27"/>
      <c r="E164" s="27"/>
      <c r="F164" s="27"/>
      <c r="G164" s="6"/>
    </row>
    <row r="165" spans="4:9" x14ac:dyDescent="0.25">
      <c r="D165" s="27"/>
      <c r="E165" s="27"/>
      <c r="F165" s="27"/>
      <c r="G165" s="6"/>
    </row>
    <row r="166" spans="4:9" x14ac:dyDescent="0.25">
      <c r="D166" s="27"/>
      <c r="E166" s="27"/>
      <c r="F166" s="27"/>
      <c r="G166" s="6"/>
      <c r="H166" s="4"/>
      <c r="I166" s="1"/>
    </row>
    <row r="167" spans="4:9" x14ac:dyDescent="0.25">
      <c r="D167" s="27"/>
      <c r="E167" s="27"/>
      <c r="F167" s="27"/>
      <c r="G167" s="6"/>
    </row>
    <row r="168" spans="4:9" x14ac:dyDescent="0.25">
      <c r="D168" s="27"/>
      <c r="E168" s="27"/>
      <c r="F168" s="27"/>
      <c r="G168" s="6"/>
    </row>
    <row r="169" spans="4:9" x14ac:dyDescent="0.25">
      <c r="D169" s="27"/>
      <c r="E169" s="27"/>
      <c r="F169" s="27"/>
      <c r="G169" s="6"/>
    </row>
    <row r="170" spans="4:9" x14ac:dyDescent="0.25">
      <c r="D170" s="27"/>
      <c r="E170" s="27"/>
      <c r="F170" s="27"/>
      <c r="G170" s="6"/>
    </row>
    <row r="171" spans="4:9" x14ac:dyDescent="0.25">
      <c r="D171" s="27"/>
      <c r="E171" s="27"/>
      <c r="F171" s="27"/>
      <c r="G171" s="6"/>
    </row>
    <row r="172" spans="4:9" x14ac:dyDescent="0.25">
      <c r="D172" s="27"/>
      <c r="E172" s="27"/>
      <c r="F172" s="27"/>
      <c r="G172" s="6"/>
    </row>
    <row r="173" spans="4:9" x14ac:dyDescent="0.25">
      <c r="D173" s="27"/>
      <c r="E173" s="27"/>
      <c r="F173" s="27"/>
      <c r="G173" s="6"/>
    </row>
    <row r="174" spans="4:9" x14ac:dyDescent="0.25">
      <c r="D174" s="27"/>
      <c r="E174" s="27"/>
      <c r="F174" s="27"/>
      <c r="G174" s="6"/>
    </row>
    <row r="175" spans="4:9" x14ac:dyDescent="0.25">
      <c r="D175" s="27"/>
      <c r="E175" s="27"/>
      <c r="F175" s="27"/>
      <c r="G175" s="6"/>
    </row>
    <row r="176" spans="4:9" x14ac:dyDescent="0.25">
      <c r="D176" s="27"/>
      <c r="E176" s="27"/>
      <c r="F176" s="27"/>
      <c r="G176" s="6"/>
    </row>
    <row r="177" spans="4:9" x14ac:dyDescent="0.25">
      <c r="D177" s="27"/>
      <c r="E177" s="27"/>
      <c r="F177" s="27"/>
      <c r="G177" s="6"/>
    </row>
    <row r="178" spans="4:9" x14ac:dyDescent="0.25">
      <c r="D178" s="27"/>
      <c r="E178" s="27"/>
      <c r="F178" s="27"/>
      <c r="G178" s="6"/>
    </row>
    <row r="179" spans="4:9" x14ac:dyDescent="0.25">
      <c r="D179" s="27"/>
      <c r="E179" s="27"/>
      <c r="F179" s="27"/>
      <c r="G179" s="6"/>
    </row>
    <row r="180" spans="4:9" x14ac:dyDescent="0.25">
      <c r="D180" s="27"/>
      <c r="E180" s="27"/>
      <c r="F180" s="27"/>
      <c r="G180" s="6"/>
    </row>
    <row r="181" spans="4:9" x14ac:dyDescent="0.25">
      <c r="D181" s="27"/>
      <c r="E181" s="27"/>
      <c r="F181" s="27"/>
      <c r="G181" s="6"/>
    </row>
    <row r="182" spans="4:9" x14ac:dyDescent="0.25">
      <c r="D182" s="27"/>
      <c r="E182" s="27"/>
      <c r="F182" s="27"/>
      <c r="G182" s="6"/>
    </row>
    <row r="183" spans="4:9" x14ac:dyDescent="0.25">
      <c r="D183" s="27"/>
      <c r="E183" s="27"/>
      <c r="F183" s="27"/>
      <c r="G183" s="6"/>
    </row>
    <row r="184" spans="4:9" x14ac:dyDescent="0.25">
      <c r="D184" s="27"/>
      <c r="E184" s="27"/>
      <c r="F184" s="27"/>
      <c r="G184" s="6"/>
    </row>
    <row r="185" spans="4:9" x14ac:dyDescent="0.25">
      <c r="D185" s="27"/>
      <c r="E185" s="27"/>
      <c r="F185" s="27"/>
      <c r="G185" s="6"/>
      <c r="H185" s="4"/>
      <c r="I185" s="1"/>
    </row>
    <row r="186" spans="4:9" x14ac:dyDescent="0.25">
      <c r="D186" s="27"/>
      <c r="E186" s="27"/>
      <c r="F186" s="27"/>
      <c r="G186" s="6"/>
    </row>
    <row r="187" spans="4:9" x14ac:dyDescent="0.25">
      <c r="D187" s="27"/>
      <c r="E187" s="27"/>
      <c r="F187" s="27"/>
      <c r="G187" s="6"/>
    </row>
    <row r="188" spans="4:9" x14ac:dyDescent="0.25">
      <c r="D188" s="27"/>
      <c r="E188" s="27"/>
      <c r="F188" s="27"/>
      <c r="G188" s="6"/>
    </row>
    <row r="189" spans="4:9" x14ac:dyDescent="0.25">
      <c r="D189" s="27"/>
      <c r="E189" s="27"/>
      <c r="F189" s="27"/>
      <c r="G189" s="6"/>
    </row>
    <row r="190" spans="4:9" x14ac:dyDescent="0.25">
      <c r="D190" s="27"/>
      <c r="E190" s="27"/>
      <c r="F190" s="27"/>
      <c r="G190" s="6"/>
    </row>
    <row r="191" spans="4:9" x14ac:dyDescent="0.25">
      <c r="D191" s="27"/>
      <c r="E191" s="27"/>
      <c r="F191" s="27"/>
      <c r="G191" s="6"/>
    </row>
    <row r="192" spans="4:9" x14ac:dyDescent="0.25">
      <c r="D192" s="27"/>
      <c r="E192" s="27"/>
      <c r="F192" s="27"/>
      <c r="G192" s="6"/>
    </row>
    <row r="193" spans="4:7" x14ac:dyDescent="0.25">
      <c r="D193" s="27"/>
      <c r="E193" s="27"/>
      <c r="F193" s="27"/>
      <c r="G193" s="6"/>
    </row>
    <row r="194" spans="4:7" x14ac:dyDescent="0.25">
      <c r="D194" s="27"/>
      <c r="E194" s="27"/>
      <c r="F194" s="27"/>
      <c r="G194" s="6"/>
    </row>
    <row r="195" spans="4:7" x14ac:dyDescent="0.25">
      <c r="D195" s="27"/>
      <c r="E195" s="27"/>
      <c r="F195" s="27"/>
      <c r="G195" s="6"/>
    </row>
    <row r="196" spans="4:7" x14ac:dyDescent="0.25">
      <c r="D196" s="27"/>
      <c r="E196" s="27"/>
      <c r="F196" s="27"/>
      <c r="G196" s="6"/>
    </row>
    <row r="197" spans="4:7" x14ac:dyDescent="0.25">
      <c r="D197" s="27"/>
      <c r="E197" s="27"/>
      <c r="F197" s="27"/>
      <c r="G197" s="6"/>
    </row>
    <row r="198" spans="4:7" x14ac:dyDescent="0.25">
      <c r="D198" s="27"/>
      <c r="E198" s="27"/>
      <c r="F198" s="27"/>
      <c r="G198" s="6"/>
    </row>
    <row r="199" spans="4:7" x14ac:dyDescent="0.25">
      <c r="D199" s="27"/>
      <c r="E199" s="27"/>
      <c r="F199" s="27"/>
      <c r="G199" s="6"/>
    </row>
    <row r="200" spans="4:7" x14ac:dyDescent="0.25">
      <c r="D200" s="27"/>
      <c r="E200" s="27"/>
      <c r="F200" s="27"/>
      <c r="G200" s="6"/>
    </row>
    <row r="201" spans="4:7" x14ac:dyDescent="0.25">
      <c r="D201" s="27"/>
      <c r="E201" s="27"/>
      <c r="F201" s="27"/>
      <c r="G201" s="6"/>
    </row>
    <row r="202" spans="4:7" x14ac:dyDescent="0.25">
      <c r="D202" s="27"/>
      <c r="E202" s="27"/>
      <c r="F202" s="27"/>
      <c r="G202" s="6"/>
    </row>
    <row r="203" spans="4:7" x14ac:dyDescent="0.25">
      <c r="D203" s="27"/>
      <c r="E203" s="27"/>
      <c r="F203" s="27"/>
      <c r="G203" s="6"/>
    </row>
    <row r="204" spans="4:7" x14ac:dyDescent="0.25">
      <c r="D204" s="27"/>
      <c r="E204" s="27"/>
      <c r="F204" s="27"/>
      <c r="G204" s="6"/>
    </row>
    <row r="205" spans="4:7" x14ac:dyDescent="0.25">
      <c r="D205" s="27"/>
      <c r="E205" s="27"/>
      <c r="F205" s="27"/>
      <c r="G205" s="6"/>
    </row>
    <row r="206" spans="4:7" x14ac:dyDescent="0.25">
      <c r="D206" s="27"/>
      <c r="E206" s="27"/>
      <c r="F206" s="27"/>
      <c r="G206" s="6"/>
    </row>
    <row r="207" spans="4:7" x14ac:dyDescent="0.25">
      <c r="D207" s="27"/>
      <c r="E207" s="27"/>
      <c r="F207" s="27"/>
      <c r="G207" s="6"/>
    </row>
    <row r="208" spans="4:7" x14ac:dyDescent="0.25">
      <c r="D208" s="27"/>
      <c r="E208" s="27"/>
      <c r="F208" s="27"/>
      <c r="G208" s="6"/>
    </row>
    <row r="209" spans="4:7" x14ac:dyDescent="0.25">
      <c r="D209" s="27"/>
      <c r="E209" s="27"/>
      <c r="F209" s="27"/>
      <c r="G209" s="6"/>
    </row>
    <row r="210" spans="4:7" x14ac:dyDescent="0.25">
      <c r="D210" s="27"/>
      <c r="E210" s="27"/>
      <c r="F210" s="27"/>
      <c r="G210" s="6"/>
    </row>
    <row r="211" spans="4:7" x14ac:dyDescent="0.25">
      <c r="D211" s="27"/>
      <c r="E211" s="27"/>
      <c r="F211" s="27"/>
      <c r="G211" s="6"/>
    </row>
    <row r="212" spans="4:7" x14ac:dyDescent="0.25">
      <c r="D212" s="27"/>
      <c r="E212" s="27"/>
      <c r="F212" s="27"/>
      <c r="G212" s="6"/>
    </row>
    <row r="213" spans="4:7" x14ac:dyDescent="0.25">
      <c r="D213" s="27"/>
      <c r="E213" s="27"/>
      <c r="F213" s="27"/>
      <c r="G213" s="6"/>
    </row>
    <row r="214" spans="4:7" x14ac:dyDescent="0.25">
      <c r="D214" s="27"/>
      <c r="E214" s="27"/>
      <c r="F214" s="27"/>
      <c r="G214" s="6"/>
    </row>
    <row r="215" spans="4:7" x14ac:dyDescent="0.25">
      <c r="D215" s="27"/>
      <c r="E215" s="27"/>
      <c r="F215" s="27"/>
      <c r="G215" s="6"/>
    </row>
    <row r="216" spans="4:7" x14ac:dyDescent="0.25">
      <c r="D216" s="27"/>
      <c r="E216" s="27"/>
      <c r="F216" s="27"/>
      <c r="G216" s="6"/>
    </row>
    <row r="217" spans="4:7" x14ac:dyDescent="0.25">
      <c r="D217" s="27"/>
      <c r="E217" s="27"/>
      <c r="F217" s="27"/>
      <c r="G217" s="6"/>
    </row>
    <row r="218" spans="4:7" x14ac:dyDescent="0.25">
      <c r="D218" s="27"/>
      <c r="E218" s="27"/>
      <c r="F218" s="27"/>
      <c r="G218" s="6"/>
    </row>
    <row r="219" spans="4:7" x14ac:dyDescent="0.25">
      <c r="D219" s="27"/>
      <c r="E219" s="27"/>
      <c r="F219" s="27"/>
      <c r="G219" s="6"/>
    </row>
    <row r="220" spans="4:7" x14ac:dyDescent="0.25">
      <c r="D220" s="27"/>
      <c r="E220" s="27"/>
      <c r="F220" s="27"/>
      <c r="G220" s="6"/>
    </row>
    <row r="221" spans="4:7" x14ac:dyDescent="0.25">
      <c r="D221" s="27"/>
      <c r="E221" s="27"/>
      <c r="F221" s="27"/>
      <c r="G221" s="6"/>
    </row>
    <row r="222" spans="4:7" x14ac:dyDescent="0.25">
      <c r="D222" s="27"/>
      <c r="E222" s="27"/>
      <c r="F222" s="27"/>
      <c r="G222" s="6"/>
    </row>
    <row r="223" spans="4:7" x14ac:dyDescent="0.25">
      <c r="D223" s="27"/>
      <c r="E223" s="27"/>
      <c r="F223" s="27"/>
      <c r="G223" s="6"/>
    </row>
    <row r="224" spans="4:7" x14ac:dyDescent="0.25">
      <c r="D224" s="27"/>
      <c r="E224" s="27"/>
      <c r="F224" s="27"/>
      <c r="G224" s="6"/>
    </row>
    <row r="225" spans="4:7" x14ac:dyDescent="0.25">
      <c r="D225" s="27"/>
      <c r="E225" s="27"/>
      <c r="F225" s="27"/>
      <c r="G225" s="6"/>
    </row>
    <row r="226" spans="4:7" x14ac:dyDescent="0.25">
      <c r="D226" s="27"/>
      <c r="E226" s="27"/>
      <c r="F226" s="27"/>
      <c r="G226" s="6"/>
    </row>
    <row r="227" spans="4:7" x14ac:dyDescent="0.25">
      <c r="D227" s="27"/>
      <c r="E227" s="27"/>
      <c r="F227" s="27"/>
      <c r="G227" s="6"/>
    </row>
    <row r="228" spans="4:7" x14ac:dyDescent="0.25">
      <c r="D228" s="27"/>
      <c r="E228" s="27"/>
      <c r="F228" s="27"/>
      <c r="G228" s="6"/>
    </row>
    <row r="229" spans="4:7" x14ac:dyDescent="0.25">
      <c r="D229" s="27"/>
      <c r="E229" s="27"/>
      <c r="F229" s="27"/>
      <c r="G229" s="6"/>
    </row>
    <row r="230" spans="4:7" x14ac:dyDescent="0.25">
      <c r="D230" s="27"/>
      <c r="E230" s="27"/>
      <c r="F230" s="27"/>
      <c r="G230" s="6"/>
    </row>
    <row r="231" spans="4:7" x14ac:dyDescent="0.25">
      <c r="D231" s="27"/>
      <c r="E231" s="27"/>
      <c r="F231" s="27"/>
      <c r="G231" s="6"/>
    </row>
    <row r="232" spans="4:7" x14ac:dyDescent="0.25">
      <c r="D232" s="27"/>
      <c r="E232" s="27"/>
      <c r="F232" s="27"/>
      <c r="G232" s="6"/>
    </row>
    <row r="233" spans="4:7" x14ac:dyDescent="0.25">
      <c r="D233" s="27"/>
      <c r="E233" s="27"/>
      <c r="F233" s="27"/>
      <c r="G233" s="6"/>
    </row>
    <row r="234" spans="4:7" x14ac:dyDescent="0.25">
      <c r="D234" s="27"/>
      <c r="E234" s="27"/>
      <c r="F234" s="27"/>
      <c r="G234" s="6"/>
    </row>
    <row r="235" spans="4:7" x14ac:dyDescent="0.25">
      <c r="D235" s="27"/>
      <c r="E235" s="27"/>
      <c r="F235" s="27"/>
      <c r="G235" s="6"/>
    </row>
    <row r="236" spans="4:7" x14ac:dyDescent="0.25">
      <c r="D236" s="27"/>
      <c r="E236" s="27"/>
      <c r="F236" s="27"/>
      <c r="G236" s="6"/>
    </row>
    <row r="237" spans="4:7" x14ac:dyDescent="0.25">
      <c r="D237" s="27"/>
      <c r="E237" s="27"/>
      <c r="F237" s="27"/>
      <c r="G237" s="6"/>
    </row>
    <row r="238" spans="4:7" x14ac:dyDescent="0.25">
      <c r="D238" s="27"/>
      <c r="E238" s="27"/>
      <c r="F238" s="27"/>
      <c r="G238" s="6"/>
    </row>
    <row r="239" spans="4:7" x14ac:dyDescent="0.25">
      <c r="D239" s="27"/>
      <c r="E239" s="27"/>
      <c r="F239" s="27"/>
      <c r="G239" s="6"/>
    </row>
    <row r="240" spans="4:7" x14ac:dyDescent="0.25">
      <c r="D240" s="27"/>
      <c r="E240" s="27"/>
      <c r="F240" s="27"/>
      <c r="G240" s="6"/>
    </row>
    <row r="241" spans="4:7" x14ac:dyDescent="0.25">
      <c r="D241" s="27"/>
      <c r="E241" s="27"/>
      <c r="F241" s="27"/>
      <c r="G241" s="6"/>
    </row>
    <row r="242" spans="4:7" x14ac:dyDescent="0.25">
      <c r="D242" s="27"/>
      <c r="E242" s="27"/>
      <c r="F242" s="27"/>
      <c r="G242" s="6"/>
    </row>
    <row r="243" spans="4:7" x14ac:dyDescent="0.25">
      <c r="D243" s="27"/>
      <c r="E243" s="27"/>
      <c r="F243" s="27"/>
      <c r="G243" s="6"/>
    </row>
    <row r="244" spans="4:7" x14ac:dyDescent="0.25">
      <c r="D244" s="27"/>
      <c r="E244" s="27"/>
      <c r="F244" s="27"/>
      <c r="G244" s="6"/>
    </row>
    <row r="245" spans="4:7" x14ac:dyDescent="0.25">
      <c r="D245" s="27"/>
      <c r="E245" s="27"/>
      <c r="F245" s="27"/>
      <c r="G245" s="6"/>
    </row>
    <row r="246" spans="4:7" x14ac:dyDescent="0.25">
      <c r="D246" s="27"/>
      <c r="E246" s="27"/>
      <c r="F246" s="27"/>
      <c r="G246" s="6"/>
    </row>
    <row r="247" spans="4:7" x14ac:dyDescent="0.25">
      <c r="D247" s="27"/>
      <c r="E247" s="27"/>
      <c r="F247" s="27"/>
      <c r="G247" s="6"/>
    </row>
    <row r="248" spans="4:7" x14ac:dyDescent="0.25">
      <c r="D248" s="27"/>
      <c r="E248" s="27"/>
      <c r="F248" s="27"/>
      <c r="G248" s="6"/>
    </row>
    <row r="249" spans="4:7" x14ac:dyDescent="0.25">
      <c r="D249" s="27"/>
      <c r="E249" s="27"/>
      <c r="F249" s="27"/>
      <c r="G249" s="6"/>
    </row>
    <row r="250" spans="4:7" x14ac:dyDescent="0.25">
      <c r="D250" s="27"/>
      <c r="E250" s="27"/>
      <c r="F250" s="27"/>
      <c r="G250" s="6"/>
    </row>
    <row r="251" spans="4:7" x14ac:dyDescent="0.25">
      <c r="D251" s="27"/>
      <c r="E251" s="27"/>
      <c r="F251" s="27"/>
      <c r="G251" s="6"/>
    </row>
    <row r="252" spans="4:7" x14ac:dyDescent="0.25">
      <c r="D252" s="27"/>
      <c r="E252" s="27"/>
      <c r="F252" s="27"/>
      <c r="G252" s="6"/>
    </row>
    <row r="253" spans="4:7" x14ac:dyDescent="0.25">
      <c r="D253" s="27"/>
      <c r="E253" s="27"/>
      <c r="F253" s="27"/>
      <c r="G253" s="6"/>
    </row>
    <row r="254" spans="4:7" x14ac:dyDescent="0.25">
      <c r="D254" s="27"/>
      <c r="E254" s="27"/>
      <c r="F254" s="27"/>
      <c r="G254" s="6"/>
    </row>
    <row r="255" spans="4:7" x14ac:dyDescent="0.25">
      <c r="D255" s="27"/>
      <c r="E255" s="27"/>
      <c r="F255" s="27"/>
      <c r="G255" s="6"/>
    </row>
    <row r="256" spans="4:7" x14ac:dyDescent="0.25">
      <c r="D256" s="27"/>
      <c r="E256" s="27"/>
      <c r="F256" s="27"/>
      <c r="G256" s="6"/>
    </row>
    <row r="257" spans="4:7" x14ac:dyDescent="0.25">
      <c r="D257" s="27"/>
      <c r="E257" s="27"/>
      <c r="F257" s="27"/>
      <c r="G257" s="6"/>
    </row>
    <row r="258" spans="4:7" x14ac:dyDescent="0.25">
      <c r="D258" s="27"/>
      <c r="E258" s="27"/>
      <c r="F258" s="27"/>
      <c r="G258" s="6"/>
    </row>
    <row r="259" spans="4:7" x14ac:dyDescent="0.25">
      <c r="D259" s="27"/>
      <c r="E259" s="27"/>
      <c r="F259" s="27"/>
      <c r="G259" s="6"/>
    </row>
    <row r="260" spans="4:7" x14ac:dyDescent="0.25">
      <c r="D260" s="27"/>
      <c r="E260" s="27"/>
      <c r="F260" s="27"/>
      <c r="G260" s="6"/>
    </row>
    <row r="261" spans="4:7" x14ac:dyDescent="0.25">
      <c r="D261" s="27"/>
      <c r="E261" s="27"/>
      <c r="F261" s="27"/>
      <c r="G261" s="6"/>
    </row>
    <row r="262" spans="4:7" x14ac:dyDescent="0.25">
      <c r="D262" s="27"/>
      <c r="E262" s="27"/>
      <c r="F262" s="27"/>
      <c r="G262" s="6"/>
    </row>
    <row r="263" spans="4:7" x14ac:dyDescent="0.25">
      <c r="D263" s="27"/>
      <c r="E263" s="27"/>
      <c r="F263" s="27"/>
      <c r="G263" s="6"/>
    </row>
    <row r="264" spans="4:7" x14ac:dyDescent="0.25">
      <c r="D264" s="27"/>
      <c r="E264" s="27"/>
      <c r="F264" s="27"/>
      <c r="G264" s="6"/>
    </row>
    <row r="265" spans="4:7" x14ac:dyDescent="0.25">
      <c r="D265" s="27"/>
      <c r="E265" s="27"/>
      <c r="F265" s="27"/>
      <c r="G265" s="6"/>
    </row>
    <row r="266" spans="4:7" x14ac:dyDescent="0.25">
      <c r="D266" s="27"/>
      <c r="E266" s="27"/>
      <c r="F266" s="27"/>
      <c r="G266" s="6"/>
    </row>
    <row r="267" spans="4:7" x14ac:dyDescent="0.25">
      <c r="D267" s="27"/>
      <c r="E267" s="27"/>
      <c r="F267" s="27"/>
      <c r="G267" s="6"/>
    </row>
    <row r="268" spans="4:7" x14ac:dyDescent="0.25">
      <c r="D268" s="27"/>
      <c r="E268" s="27"/>
      <c r="F268" s="27"/>
      <c r="G268" s="6"/>
    </row>
    <row r="269" spans="4:7" x14ac:dyDescent="0.25">
      <c r="D269" s="27"/>
      <c r="E269" s="27"/>
      <c r="F269" s="27"/>
      <c r="G269" s="6"/>
    </row>
    <row r="270" spans="4:7" x14ac:dyDescent="0.25">
      <c r="D270" s="27"/>
      <c r="E270" s="27"/>
      <c r="F270" s="27"/>
      <c r="G270" s="6"/>
    </row>
    <row r="271" spans="4:7" x14ac:dyDescent="0.25">
      <c r="D271" s="27"/>
      <c r="E271" s="27"/>
      <c r="F271" s="27"/>
      <c r="G271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1"/>
  <sheetViews>
    <sheetView topLeftCell="F1" zoomScaleNormal="100" workbookViewId="0">
      <selection activeCell="C2" sqref="C2"/>
    </sheetView>
  </sheetViews>
  <sheetFormatPr defaultRowHeight="15" x14ac:dyDescent="0.25"/>
  <cols>
    <col min="1" max="1" width="9.140625" style="3"/>
    <col min="2" max="3" width="9.140625" style="9"/>
    <col min="4" max="5" width="12" style="9" customWidth="1"/>
    <col min="6" max="7" width="12" style="45" customWidth="1"/>
    <col min="8" max="8" width="12" style="5" customWidth="1"/>
    <col min="9" max="9" width="9.140625" style="5"/>
    <col min="14" max="14" width="5.42578125" customWidth="1"/>
    <col min="22" max="23" width="12" customWidth="1"/>
  </cols>
  <sheetData>
    <row r="1" spans="1:33" s="5" customFormat="1" x14ac:dyDescent="0.25">
      <c r="A1" s="6" t="s">
        <v>0</v>
      </c>
      <c r="B1" s="19" t="s">
        <v>89</v>
      </c>
      <c r="C1" s="28" t="s">
        <v>1</v>
      </c>
      <c r="D1" s="20" t="s">
        <v>2</v>
      </c>
      <c r="E1" s="39" t="s">
        <v>65</v>
      </c>
      <c r="F1" s="20"/>
      <c r="G1" s="22"/>
      <c r="H1" s="4" t="s">
        <v>5</v>
      </c>
      <c r="I1" s="4" t="s">
        <v>19</v>
      </c>
      <c r="J1" s="4"/>
      <c r="K1" s="5" t="s">
        <v>4</v>
      </c>
      <c r="L1" s="4" t="s">
        <v>3</v>
      </c>
      <c r="M1" s="5" t="s">
        <v>6</v>
      </c>
      <c r="O1" s="5" t="s">
        <v>10</v>
      </c>
      <c r="P1" s="5" t="s">
        <v>20</v>
      </c>
      <c r="Q1" s="4" t="s">
        <v>67</v>
      </c>
      <c r="R1" s="4" t="s">
        <v>70</v>
      </c>
      <c r="S1" s="5" t="s">
        <v>45</v>
      </c>
      <c r="T1" s="5" t="s">
        <v>88</v>
      </c>
      <c r="V1" s="5" t="s">
        <v>69</v>
      </c>
      <c r="X1" s="5" t="s">
        <v>25</v>
      </c>
      <c r="Y1" s="22"/>
      <c r="AA1" s="5" t="s">
        <v>20</v>
      </c>
      <c r="AB1" s="4" t="s">
        <v>67</v>
      </c>
      <c r="AF1" s="4"/>
      <c r="AG1" s="4"/>
    </row>
    <row r="2" spans="1:33" x14ac:dyDescent="0.25">
      <c r="A2" s="3">
        <v>1</v>
      </c>
      <c r="B2" s="17"/>
      <c r="C2" s="9" t="b">
        <v>1</v>
      </c>
      <c r="D2" s="37">
        <v>92</v>
      </c>
      <c r="E2" s="47" t="s">
        <v>66</v>
      </c>
      <c r="F2" s="36">
        <f>Y10</f>
        <v>214.83866496497308</v>
      </c>
      <c r="H2" s="2">
        <f>IF(C2,D2,"")</f>
        <v>92</v>
      </c>
      <c r="I2" s="5">
        <f t="shared" ref="I2:I50" si="0">IF(C2,1-K2*M2,"")</f>
        <v>3.6082474226804218E-2</v>
      </c>
      <c r="K2">
        <f t="shared" ref="K2:K50" si="1">(COUNT(D$2:D$50)+0.7)/(COUNT(D$2:D$50)+0.4)</f>
        <v>1.0154639175257731</v>
      </c>
      <c r="L2">
        <f t="shared" ref="L2:L50" si="2">IF(C2,(COUNT(D$2:D$50)-A2+0.7)/(COUNT(D$2:D$50)-A2+1.7),"")</f>
        <v>0.949238578680203</v>
      </c>
      <c r="M2">
        <f>PRODUCT(L2)</f>
        <v>0.949238578680203</v>
      </c>
      <c r="P2">
        <f t="shared" ref="P2:P33" si="3">IF(C2,_xlfn.NORM.S.INV(I2),NA())</f>
        <v>-1.7980761038936293</v>
      </c>
      <c r="Q2" s="1">
        <f>IF(C2, LN(D2),NA())</f>
        <v>4.5217885770490405</v>
      </c>
      <c r="R2" s="1">
        <f>IF(C2,Y$2*AA2+Y$8+V2,NA())</f>
        <v>4.7431131138967952</v>
      </c>
      <c r="S2">
        <f>IF(C2,Y$2*AA2+Y$8-V2,NA())</f>
        <v>3.7956875642576517</v>
      </c>
      <c r="T2" t="e">
        <f>NA()</f>
        <v>#N/A</v>
      </c>
      <c r="V2">
        <f>IF(C2,Y$7*Y$4*SQRT(1+1/Y$3+(AA2-Y$5)^2/Y$6),"")</f>
        <v>0.47371277481957158</v>
      </c>
      <c r="X2" s="50" t="s">
        <v>83</v>
      </c>
      <c r="Y2" s="9">
        <f>SLOPE(AB:AB,AA:AA)</f>
        <v>0.61203583622962721</v>
      </c>
      <c r="AA2">
        <f>IF(C2,_xlfn.NORM.S.INV(I2),"")</f>
        <v>-1.7980761038936293</v>
      </c>
      <c r="AB2">
        <f>IF(C2, LN(D2),"")</f>
        <v>4.5217885770490405</v>
      </c>
      <c r="AC2" s="5"/>
      <c r="AD2" t="s">
        <v>84</v>
      </c>
      <c r="AE2">
        <f>_xlfn.STDEV.S(AB:AB)</f>
        <v>0.56119181263747142</v>
      </c>
    </row>
    <row r="3" spans="1:33" x14ac:dyDescent="0.25">
      <c r="A3" s="3">
        <v>2</v>
      </c>
      <c r="B3" s="17"/>
      <c r="C3" s="9" t="b">
        <v>1</v>
      </c>
      <c r="D3" s="37">
        <v>102</v>
      </c>
      <c r="E3" s="47" t="str">
        <f>X18</f>
        <v>t50Upper</v>
      </c>
      <c r="F3" s="36">
        <f>Y18</f>
        <v>289.97055982799975</v>
      </c>
      <c r="H3" s="2">
        <f t="shared" ref="H3:H50" si="4">IF(C3,D3,"")</f>
        <v>102</v>
      </c>
      <c r="I3" s="5">
        <f t="shared" si="0"/>
        <v>8.7628865979381576E-2</v>
      </c>
      <c r="K3">
        <f t="shared" si="1"/>
        <v>1.0154639175257731</v>
      </c>
      <c r="L3">
        <f t="shared" si="2"/>
        <v>0.946524064171123</v>
      </c>
      <c r="M3">
        <f>PRODUCT(L2:L3)</f>
        <v>0.89847715736040601</v>
      </c>
      <c r="P3">
        <f t="shared" si="3"/>
        <v>-1.3555018111021335</v>
      </c>
      <c r="Q3" s="1">
        <f t="shared" ref="Q3:Q50" si="5">IF(C3, LN(D3),NA())</f>
        <v>4.6249728132842707</v>
      </c>
      <c r="R3" s="1">
        <f t="shared" ref="R3:R50" si="6">IF(C3,Y$2*AA3+Y$8+V3,NA())</f>
        <v>4.9933360429146427</v>
      </c>
      <c r="S3">
        <f t="shared" ref="S3:S50" si="7">IF(C3,Y$2*AA3+Y$8-V3,NA())</f>
        <v>4.0872072900045611</v>
      </c>
      <c r="T3" t="e">
        <f>NA()</f>
        <v>#N/A</v>
      </c>
      <c r="V3">
        <f t="shared" ref="V3:V50" si="8">IF(C3,Y$7*Y$4*SQRT(1+1/Y$3+(AA3-Y$5)^2/Y$6),"")</f>
        <v>0.45306437645504122</v>
      </c>
      <c r="X3" s="9" t="s">
        <v>31</v>
      </c>
      <c r="Y3" s="9">
        <f>COUNT(H:H)</f>
        <v>16</v>
      </c>
      <c r="AA3">
        <f t="shared" ref="AA3:AA50" si="9">IF(C3,_xlfn.NORM.S.INV(I3),"")</f>
        <v>-1.3555018111021335</v>
      </c>
      <c r="AB3">
        <f t="shared" ref="AB3:AB50" si="10">IF(C3, LN(D3),"")</f>
        <v>4.6249728132842707</v>
      </c>
      <c r="AC3" s="5"/>
    </row>
    <row r="4" spans="1:33" x14ac:dyDescent="0.25">
      <c r="A4" s="3">
        <v>3</v>
      </c>
      <c r="B4" s="17"/>
      <c r="C4" s="9" t="b">
        <v>1</v>
      </c>
      <c r="D4" s="37">
        <v>108</v>
      </c>
      <c r="E4" s="47" t="str">
        <f>X19</f>
        <v>t50Lower</v>
      </c>
      <c r="F4" s="36">
        <f>Y19</f>
        <v>159.17357952238271</v>
      </c>
      <c r="H4" s="2">
        <f t="shared" si="4"/>
        <v>108</v>
      </c>
      <c r="I4" s="5">
        <f t="shared" si="0"/>
        <v>0.13917525773195893</v>
      </c>
      <c r="K4">
        <f t="shared" si="1"/>
        <v>1.0154639175257731</v>
      </c>
      <c r="L4">
        <f t="shared" si="2"/>
        <v>0.94350282485875703</v>
      </c>
      <c r="M4">
        <f>PRODUCT(L2:L4)</f>
        <v>0.84771573604060901</v>
      </c>
      <c r="P4">
        <f t="shared" si="3"/>
        <v>-1.0840322150320134</v>
      </c>
      <c r="Q4" s="1">
        <f t="shared" si="5"/>
        <v>4.6821312271242199</v>
      </c>
      <c r="R4" s="1">
        <f t="shared" si="6"/>
        <v>5.1497284685528895</v>
      </c>
      <c r="S4">
        <f t="shared" si="7"/>
        <v>4.2631131068497057</v>
      </c>
      <c r="T4" t="e">
        <f>NA()</f>
        <v>#N/A</v>
      </c>
      <c r="V4">
        <f t="shared" si="8"/>
        <v>0.44330768085159178</v>
      </c>
      <c r="X4" t="s">
        <v>26</v>
      </c>
      <c r="Y4" s="9">
        <f>STEYX(AB:AB,AA:AA)</f>
        <v>0.19392213001890019</v>
      </c>
      <c r="AA4">
        <f t="shared" si="9"/>
        <v>-1.0840322150320134</v>
      </c>
      <c r="AB4">
        <f t="shared" si="10"/>
        <v>4.6821312271242199</v>
      </c>
      <c r="AC4" s="5"/>
    </row>
    <row r="5" spans="1:33" x14ac:dyDescent="0.25">
      <c r="A5" s="3">
        <v>4</v>
      </c>
      <c r="B5" s="17"/>
      <c r="C5" s="9" t="b">
        <v>0</v>
      </c>
      <c r="D5" s="37">
        <v>118</v>
      </c>
      <c r="E5" s="47"/>
      <c r="F5" s="36"/>
      <c r="H5" s="2" t="str">
        <f t="shared" si="4"/>
        <v/>
      </c>
      <c r="I5" s="5" t="str">
        <f t="shared" si="0"/>
        <v/>
      </c>
      <c r="K5">
        <f t="shared" si="1"/>
        <v>1.0154639175257731</v>
      </c>
      <c r="L5" t="str">
        <f t="shared" si="2"/>
        <v/>
      </c>
      <c r="M5">
        <f>PRODUCT(L2:L5)</f>
        <v>0.84771573604060901</v>
      </c>
      <c r="P5" t="e">
        <f t="shared" si="3"/>
        <v>#N/A</v>
      </c>
      <c r="Q5" s="1" t="e">
        <f t="shared" si="5"/>
        <v>#N/A</v>
      </c>
      <c r="R5" s="1" t="e">
        <f t="shared" si="6"/>
        <v>#N/A</v>
      </c>
      <c r="S5" t="e">
        <f t="shared" si="7"/>
        <v>#N/A</v>
      </c>
      <c r="T5" t="e">
        <f>NA()</f>
        <v>#N/A</v>
      </c>
      <c r="V5" t="str">
        <f t="shared" si="8"/>
        <v/>
      </c>
      <c r="X5" t="s">
        <v>32</v>
      </c>
      <c r="Y5" s="1">
        <f>AVERAGE(AA:AA)</f>
        <v>-0.17634402370290644</v>
      </c>
      <c r="AA5" t="str">
        <f t="shared" si="9"/>
        <v/>
      </c>
      <c r="AB5" t="str">
        <f t="shared" si="10"/>
        <v/>
      </c>
      <c r="AC5" s="5"/>
    </row>
    <row r="6" spans="1:33" x14ac:dyDescent="0.25">
      <c r="A6" s="3">
        <v>5</v>
      </c>
      <c r="B6" s="17"/>
      <c r="C6" s="9" t="b">
        <v>1</v>
      </c>
      <c r="D6" s="37">
        <v>133</v>
      </c>
      <c r="E6" s="47" t="s">
        <v>68</v>
      </c>
      <c r="F6" s="36">
        <f>Y11</f>
        <v>192.85883355441175</v>
      </c>
      <c r="H6" s="2">
        <f t="shared" si="4"/>
        <v>133</v>
      </c>
      <c r="I6" s="5">
        <f t="shared" si="0"/>
        <v>0.19400485915030541</v>
      </c>
      <c r="K6">
        <f t="shared" si="1"/>
        <v>1.0154639175257731</v>
      </c>
      <c r="L6">
        <f t="shared" si="2"/>
        <v>0.93630573248407645</v>
      </c>
      <c r="M6">
        <f>PRODUCT(L2:L6)</f>
        <v>0.79372110317178046</v>
      </c>
      <c r="P6">
        <f t="shared" si="3"/>
        <v>-0.86323237228718164</v>
      </c>
      <c r="Q6" s="1">
        <f t="shared" si="5"/>
        <v>4.8903491282217537</v>
      </c>
      <c r="R6" s="1">
        <f t="shared" si="6"/>
        <v>5.2786925071114776</v>
      </c>
      <c r="S6">
        <f t="shared" si="7"/>
        <v>4.4044239010785233</v>
      </c>
      <c r="T6" t="e">
        <f>NA()</f>
        <v>#N/A</v>
      </c>
      <c r="V6">
        <f t="shared" si="8"/>
        <v>0.43713430301647732</v>
      </c>
      <c r="X6" t="s">
        <v>28</v>
      </c>
      <c r="Y6">
        <f>DEVSQ(AA:AA)</f>
        <v>11.205815931403963</v>
      </c>
      <c r="AA6">
        <f t="shared" si="9"/>
        <v>-0.86323237228718164</v>
      </c>
      <c r="AB6">
        <f t="shared" si="10"/>
        <v>4.8903491282217537</v>
      </c>
      <c r="AC6" s="5"/>
    </row>
    <row r="7" spans="1:33" x14ac:dyDescent="0.25">
      <c r="A7" s="3">
        <v>6</v>
      </c>
      <c r="B7" s="17"/>
      <c r="C7" s="9" t="b">
        <v>1</v>
      </c>
      <c r="D7" s="37">
        <v>146</v>
      </c>
      <c r="E7" s="47" t="s">
        <v>75</v>
      </c>
      <c r="F7" s="36">
        <f>Y22</f>
        <v>253.89922192555147</v>
      </c>
      <c r="H7" s="2">
        <f t="shared" si="4"/>
        <v>146</v>
      </c>
      <c r="I7" s="5">
        <f t="shared" si="0"/>
        <v>0.24883446056865199</v>
      </c>
      <c r="K7">
        <f t="shared" si="1"/>
        <v>1.0154639175257731</v>
      </c>
      <c r="L7">
        <f t="shared" si="2"/>
        <v>0.93197278911564629</v>
      </c>
      <c r="M7">
        <f>PRODUCT(L2:L7)</f>
        <v>0.73972647030295191</v>
      </c>
      <c r="P7">
        <f t="shared" si="3"/>
        <v>-0.67816209815014417</v>
      </c>
      <c r="Q7" s="1">
        <f t="shared" si="5"/>
        <v>4.9836066217083363</v>
      </c>
      <c r="R7" s="1">
        <f t="shared" si="6"/>
        <v>5.3880601356893498</v>
      </c>
      <c r="S7">
        <f t="shared" si="7"/>
        <v>4.521595552486068</v>
      </c>
      <c r="T7" t="e">
        <f>NA()</f>
        <v>#N/A</v>
      </c>
      <c r="V7">
        <f t="shared" si="8"/>
        <v>0.43323229160164128</v>
      </c>
      <c r="X7" t="s">
        <v>29</v>
      </c>
      <c r="Y7">
        <f>TINV(0.05, COUNT(H:H)-2)</f>
        <v>2.1447866879178044</v>
      </c>
      <c r="AA7">
        <f t="shared" si="9"/>
        <v>-0.67816209815014417</v>
      </c>
      <c r="AB7">
        <f t="shared" si="10"/>
        <v>4.9836066217083363</v>
      </c>
      <c r="AC7" s="5"/>
    </row>
    <row r="8" spans="1:33" x14ac:dyDescent="0.25">
      <c r="A8" s="3">
        <v>7</v>
      </c>
      <c r="B8" s="17"/>
      <c r="C8" s="9" t="b">
        <v>1</v>
      </c>
      <c r="D8" s="37">
        <v>156</v>
      </c>
      <c r="E8" s="47" t="s">
        <v>76</v>
      </c>
      <c r="F8" s="36">
        <f>Y23</f>
        <v>146.49327949053105</v>
      </c>
      <c r="H8" s="2">
        <f t="shared" si="4"/>
        <v>156</v>
      </c>
      <c r="I8" s="5">
        <f t="shared" si="0"/>
        <v>0.30366406198699858</v>
      </c>
      <c r="K8">
        <f t="shared" si="1"/>
        <v>1.0154639175257731</v>
      </c>
      <c r="L8">
        <f t="shared" si="2"/>
        <v>0.92700729927007297</v>
      </c>
      <c r="M8">
        <f>PRODUCT(L2:L8)</f>
        <v>0.68573183743412325</v>
      </c>
      <c r="P8">
        <f t="shared" si="3"/>
        <v>-0.51389110901812785</v>
      </c>
      <c r="Q8" s="1">
        <f t="shared" si="5"/>
        <v>5.0498560072495371</v>
      </c>
      <c r="R8" s="1">
        <f t="shared" si="6"/>
        <v>5.486136228918034</v>
      </c>
      <c r="S8">
        <f t="shared" si="7"/>
        <v>4.6245989236607459</v>
      </c>
      <c r="T8" t="e">
        <f>NA()</f>
        <v>#N/A</v>
      </c>
      <c r="V8">
        <f t="shared" si="8"/>
        <v>0.43076865262864389</v>
      </c>
      <c r="X8" s="9" t="s">
        <v>30</v>
      </c>
      <c r="Y8" s="9">
        <f>INTERCEPT(AB:AB,AA:AA)</f>
        <v>5.3698873509282707</v>
      </c>
      <c r="AA8">
        <f t="shared" si="9"/>
        <v>-0.51389110901812785</v>
      </c>
      <c r="AB8">
        <f t="shared" si="10"/>
        <v>5.0498560072495371</v>
      </c>
      <c r="AC8" s="5"/>
    </row>
    <row r="9" spans="1:33" x14ac:dyDescent="0.25">
      <c r="A9" s="3">
        <v>8</v>
      </c>
      <c r="B9" s="17"/>
      <c r="C9" s="9" t="b">
        <v>1</v>
      </c>
      <c r="D9" s="37">
        <v>170</v>
      </c>
      <c r="E9" s="47"/>
      <c r="F9" s="36"/>
      <c r="H9" s="2">
        <f t="shared" si="4"/>
        <v>170</v>
      </c>
      <c r="I9" s="5">
        <f t="shared" si="0"/>
        <v>0.35849366340534516</v>
      </c>
      <c r="K9">
        <f t="shared" si="1"/>
        <v>1.0154639175257731</v>
      </c>
      <c r="L9">
        <f t="shared" si="2"/>
        <v>0.92125984251968507</v>
      </c>
      <c r="M9">
        <f>PRODUCT(L2:L9)</f>
        <v>0.6317372045652947</v>
      </c>
      <c r="P9">
        <f t="shared" si="3"/>
        <v>-0.36248808364097362</v>
      </c>
      <c r="Q9" s="1">
        <f t="shared" si="5"/>
        <v>5.1357984370502621</v>
      </c>
      <c r="R9" s="1">
        <f t="shared" si="6"/>
        <v>5.5773772136550699</v>
      </c>
      <c r="S9">
        <f t="shared" si="7"/>
        <v>4.7186860934125141</v>
      </c>
      <c r="T9" t="e">
        <f>NA()</f>
        <v>#N/A</v>
      </c>
      <c r="V9">
        <f t="shared" si="8"/>
        <v>0.42934556012127761</v>
      </c>
      <c r="AA9">
        <f t="shared" si="9"/>
        <v>-0.36248808364097362</v>
      </c>
      <c r="AB9">
        <f t="shared" si="10"/>
        <v>5.1357984370502621</v>
      </c>
      <c r="AC9" s="5"/>
    </row>
    <row r="10" spans="1:33" x14ac:dyDescent="0.25">
      <c r="A10" s="3">
        <v>9</v>
      </c>
      <c r="B10" s="17"/>
      <c r="C10" s="9" t="b">
        <v>1</v>
      </c>
      <c r="D10" s="37">
        <v>172</v>
      </c>
      <c r="E10" s="49" t="s">
        <v>92</v>
      </c>
      <c r="F10" s="36"/>
      <c r="H10" s="2">
        <f t="shared" si="4"/>
        <v>172</v>
      </c>
      <c r="I10" s="5">
        <f t="shared" si="0"/>
        <v>0.41332326482369175</v>
      </c>
      <c r="K10">
        <f t="shared" si="1"/>
        <v>1.0154639175257731</v>
      </c>
      <c r="L10">
        <f t="shared" si="2"/>
        <v>0.9145299145299145</v>
      </c>
      <c r="M10">
        <f>PRODUCT(L2:L10)</f>
        <v>0.57774257169646603</v>
      </c>
      <c r="P10">
        <f t="shared" si="3"/>
        <v>-0.21900451632612572</v>
      </c>
      <c r="Q10" s="1">
        <f t="shared" si="5"/>
        <v>5.1474944768134527</v>
      </c>
      <c r="R10" s="1">
        <f t="shared" si="6"/>
        <v>5.6646036787690974</v>
      </c>
      <c r="S10">
        <f t="shared" si="7"/>
        <v>4.8070937985119926</v>
      </c>
      <c r="T10" t="e">
        <f>NA()</f>
        <v>#N/A</v>
      </c>
      <c r="V10">
        <f t="shared" si="8"/>
        <v>0.42875494012855281</v>
      </c>
      <c r="X10" t="s">
        <v>66</v>
      </c>
      <c r="Y10">
        <f>EXP(Y8)</f>
        <v>214.83866496497308</v>
      </c>
      <c r="AA10">
        <f t="shared" si="9"/>
        <v>-0.21900451632612572</v>
      </c>
      <c r="AB10">
        <f t="shared" si="10"/>
        <v>5.1474944768134527</v>
      </c>
      <c r="AC10" s="5"/>
    </row>
    <row r="11" spans="1:33" x14ac:dyDescent="0.25">
      <c r="A11" s="3">
        <v>10</v>
      </c>
      <c r="B11" s="17"/>
      <c r="C11" s="9" t="b">
        <v>1</v>
      </c>
      <c r="D11" s="37">
        <v>193</v>
      </c>
      <c r="E11" s="49" t="s">
        <v>93</v>
      </c>
      <c r="F11" s="36">
        <f>Y13</f>
        <v>0.56119181263747142</v>
      </c>
      <c r="H11" s="2">
        <f t="shared" si="4"/>
        <v>193</v>
      </c>
      <c r="I11" s="5">
        <f t="shared" si="0"/>
        <v>0.46815286624203833</v>
      </c>
      <c r="K11">
        <f t="shared" si="1"/>
        <v>1.0154639175257731</v>
      </c>
      <c r="L11">
        <f t="shared" si="2"/>
        <v>0.90654205607476634</v>
      </c>
      <c r="M11">
        <f>PRODUCT(L2:L11)</f>
        <v>0.52374793882763737</v>
      </c>
      <c r="P11">
        <f t="shared" si="3"/>
        <v>-7.9913902643637708E-2</v>
      </c>
      <c r="Q11" s="1">
        <f t="shared" si="5"/>
        <v>5.2626901889048856</v>
      </c>
      <c r="R11" s="1">
        <f t="shared" si="6"/>
        <v>5.7498667380317521</v>
      </c>
      <c r="S11">
        <f t="shared" si="7"/>
        <v>4.8920876193630463</v>
      </c>
      <c r="T11" t="e">
        <f>NA()</f>
        <v>#N/A</v>
      </c>
      <c r="V11">
        <f t="shared" si="8"/>
        <v>0.42888955933435324</v>
      </c>
      <c r="X11" t="s">
        <v>68</v>
      </c>
      <c r="Y11">
        <f>GEOMEAN(H:H)</f>
        <v>192.85883355441175</v>
      </c>
      <c r="AA11">
        <f t="shared" si="9"/>
        <v>-7.9913902643637708E-2</v>
      </c>
      <c r="AB11">
        <f t="shared" si="10"/>
        <v>5.2626901889048856</v>
      </c>
      <c r="AC11" s="5"/>
    </row>
    <row r="12" spans="1:33" ht="15.75" thickBot="1" x14ac:dyDescent="0.3">
      <c r="A12" s="3">
        <v>11</v>
      </c>
      <c r="B12" s="17"/>
      <c r="C12" s="9" t="b">
        <v>1</v>
      </c>
      <c r="D12" s="29">
        <v>193</v>
      </c>
      <c r="E12" s="48" t="s">
        <v>94</v>
      </c>
      <c r="F12" s="53">
        <f>Y14</f>
        <v>0.61203583622962721</v>
      </c>
      <c r="H12" s="2">
        <f t="shared" si="4"/>
        <v>193</v>
      </c>
      <c r="I12" s="5">
        <f t="shared" si="0"/>
        <v>0.52298246766038492</v>
      </c>
      <c r="K12">
        <f t="shared" si="1"/>
        <v>1.0154639175257731</v>
      </c>
      <c r="L12">
        <f t="shared" si="2"/>
        <v>0.89690721649484539</v>
      </c>
      <c r="M12">
        <f>PRODUCT(L2:L12)</f>
        <v>0.46975330595880882</v>
      </c>
      <c r="P12">
        <f t="shared" si="3"/>
        <v>5.7640404928040422E-2</v>
      </c>
      <c r="Q12" s="1">
        <f t="shared" si="5"/>
        <v>5.2626901889048856</v>
      </c>
      <c r="R12" s="1">
        <f t="shared" si="6"/>
        <v>5.8348720951401436</v>
      </c>
      <c r="S12">
        <f t="shared" si="7"/>
        <v>4.9754585935778923</v>
      </c>
      <c r="T12" t="e">
        <f>NA()</f>
        <v>#N/A</v>
      </c>
      <c r="V12">
        <f t="shared" si="8"/>
        <v>0.42970675078112569</v>
      </c>
      <c r="AA12">
        <f t="shared" si="9"/>
        <v>5.7640404928040422E-2</v>
      </c>
      <c r="AB12">
        <f t="shared" si="10"/>
        <v>5.2626901889048856</v>
      </c>
      <c r="AC12" s="5"/>
    </row>
    <row r="13" spans="1:33" x14ac:dyDescent="0.25">
      <c r="A13" s="3">
        <v>12</v>
      </c>
      <c r="B13" s="17"/>
      <c r="C13" s="9" t="b">
        <v>1</v>
      </c>
      <c r="D13" s="29">
        <v>196</v>
      </c>
      <c r="E13" s="23"/>
      <c r="H13" s="2">
        <f t="shared" si="4"/>
        <v>196</v>
      </c>
      <c r="I13" s="5">
        <f t="shared" si="0"/>
        <v>0.57781206907873139</v>
      </c>
      <c r="K13">
        <f t="shared" si="1"/>
        <v>1.0154639175257731</v>
      </c>
      <c r="L13">
        <f t="shared" si="2"/>
        <v>0.88505747126436796</v>
      </c>
      <c r="M13">
        <f>PRODUCT(L2:L13)</f>
        <v>0.41575867308998027</v>
      </c>
      <c r="P13">
        <f t="shared" si="3"/>
        <v>0.19629936057414091</v>
      </c>
      <c r="Q13" s="1">
        <f t="shared" si="5"/>
        <v>5.2781146592305168</v>
      </c>
      <c r="R13" s="1">
        <f t="shared" si="6"/>
        <v>5.9212446390400952</v>
      </c>
      <c r="S13">
        <f t="shared" si="7"/>
        <v>5.0588145494171179</v>
      </c>
      <c r="T13" t="e">
        <f>NA()</f>
        <v>#N/A</v>
      </c>
      <c r="V13">
        <f t="shared" si="8"/>
        <v>0.43121504481148903</v>
      </c>
      <c r="X13" t="s">
        <v>85</v>
      </c>
      <c r="Y13">
        <f>STDEV(AB:AB)</f>
        <v>0.56119181263747142</v>
      </c>
      <c r="AA13">
        <f t="shared" si="9"/>
        <v>0.19629936057414091</v>
      </c>
      <c r="AB13">
        <f t="shared" si="10"/>
        <v>5.2781146592305168</v>
      </c>
      <c r="AC13" s="5"/>
    </row>
    <row r="14" spans="1:33" x14ac:dyDescent="0.25">
      <c r="A14" s="3">
        <v>13</v>
      </c>
      <c r="B14" s="17"/>
      <c r="C14" s="9" t="b">
        <v>1</v>
      </c>
      <c r="D14" s="29">
        <v>198</v>
      </c>
      <c r="E14" s="23"/>
      <c r="H14" s="2">
        <f t="shared" si="4"/>
        <v>198</v>
      </c>
      <c r="I14" s="5">
        <f t="shared" si="0"/>
        <v>0.63264167049707798</v>
      </c>
      <c r="K14">
        <f t="shared" si="1"/>
        <v>1.0154639175257731</v>
      </c>
      <c r="L14">
        <f t="shared" si="2"/>
        <v>0.87012987012987009</v>
      </c>
      <c r="M14">
        <f>PRODUCT(L2:L14)</f>
        <v>0.36176404022115166</v>
      </c>
      <c r="P14">
        <f t="shared" si="3"/>
        <v>0.33885806185153799</v>
      </c>
      <c r="Q14" s="1">
        <f t="shared" si="5"/>
        <v>5.2882670306945352</v>
      </c>
      <c r="R14" s="1">
        <f t="shared" si="6"/>
        <v>6.0107553702320846</v>
      </c>
      <c r="S14">
        <f t="shared" si="7"/>
        <v>5.1438058861213705</v>
      </c>
      <c r="T14" t="e">
        <f>NA()</f>
        <v>#N/A</v>
      </c>
      <c r="V14">
        <f t="shared" si="8"/>
        <v>0.43347474205535741</v>
      </c>
      <c r="X14" t="s">
        <v>73</v>
      </c>
      <c r="Y14">
        <f>Y2</f>
        <v>0.61203583622962721</v>
      </c>
      <c r="AA14">
        <f t="shared" si="9"/>
        <v>0.33885806185153799</v>
      </c>
      <c r="AB14">
        <f t="shared" si="10"/>
        <v>5.2882670306945352</v>
      </c>
      <c r="AC14" s="5"/>
    </row>
    <row r="15" spans="1:33" x14ac:dyDescent="0.25">
      <c r="A15" s="3">
        <v>14</v>
      </c>
      <c r="B15" s="17"/>
      <c r="C15" s="9" t="b">
        <v>1</v>
      </c>
      <c r="D15" s="29">
        <v>254</v>
      </c>
      <c r="E15" s="23"/>
      <c r="H15" s="2">
        <f t="shared" si="4"/>
        <v>254</v>
      </c>
      <c r="I15" s="5">
        <f t="shared" si="0"/>
        <v>0.68747127191542456</v>
      </c>
      <c r="K15">
        <f t="shared" si="1"/>
        <v>1.0154639175257731</v>
      </c>
      <c r="L15">
        <f t="shared" si="2"/>
        <v>0.85074626865671643</v>
      </c>
      <c r="M15">
        <f>PRODUCT(L2:L15)</f>
        <v>0.30776940735232305</v>
      </c>
      <c r="P15">
        <f t="shared" si="3"/>
        <v>0.48869526551286357</v>
      </c>
      <c r="Q15" s="1">
        <f t="shared" si="5"/>
        <v>5.5373342670185366</v>
      </c>
      <c r="R15" s="1">
        <f t="shared" si="6"/>
        <v>6.105598778073916</v>
      </c>
      <c r="S15">
        <f t="shared" si="7"/>
        <v>5.2323739547618748</v>
      </c>
      <c r="T15" t="e">
        <f>NA()</f>
        <v>#N/A</v>
      </c>
      <c r="V15">
        <f t="shared" si="8"/>
        <v>0.43661241165602055</v>
      </c>
      <c r="AA15">
        <f t="shared" si="9"/>
        <v>0.48869526551286357</v>
      </c>
      <c r="AB15">
        <f t="shared" si="10"/>
        <v>5.5373342670185366</v>
      </c>
      <c r="AC15" s="5"/>
    </row>
    <row r="16" spans="1:33" x14ac:dyDescent="0.25">
      <c r="A16" s="3">
        <v>15</v>
      </c>
      <c r="B16" s="17"/>
      <c r="C16" s="9" t="b">
        <v>0</v>
      </c>
      <c r="D16" s="29">
        <v>276</v>
      </c>
      <c r="E16" s="23"/>
      <c r="H16" s="2" t="str">
        <f t="shared" si="4"/>
        <v/>
      </c>
      <c r="I16" s="5" t="str">
        <f t="shared" si="0"/>
        <v/>
      </c>
      <c r="K16">
        <f t="shared" si="1"/>
        <v>1.0154639175257731</v>
      </c>
      <c r="L16" t="str">
        <f t="shared" si="2"/>
        <v/>
      </c>
      <c r="M16">
        <f>PRODUCT(L2:L16)</f>
        <v>0.30776940735232305</v>
      </c>
      <c r="P16" t="e">
        <f t="shared" si="3"/>
        <v>#N/A</v>
      </c>
      <c r="Q16" s="1" t="e">
        <f t="shared" si="5"/>
        <v>#N/A</v>
      </c>
      <c r="R16" s="1" t="e">
        <f t="shared" si="6"/>
        <v>#N/A</v>
      </c>
      <c r="S16" t="e">
        <f t="shared" si="7"/>
        <v>#N/A</v>
      </c>
      <c r="T16" t="e">
        <f>NA()</f>
        <v>#N/A</v>
      </c>
      <c r="V16" t="str">
        <f t="shared" si="8"/>
        <v/>
      </c>
      <c r="X16" s="5" t="s">
        <v>74</v>
      </c>
      <c r="AA16" t="str">
        <f t="shared" si="9"/>
        <v/>
      </c>
      <c r="AB16" t="str">
        <f t="shared" si="10"/>
        <v/>
      </c>
      <c r="AC16" s="5"/>
    </row>
    <row r="17" spans="1:29" x14ac:dyDescent="0.25">
      <c r="A17" s="3">
        <v>16</v>
      </c>
      <c r="B17" s="17"/>
      <c r="C17" s="9" t="b">
        <v>1</v>
      </c>
      <c r="D17" s="29">
        <v>320</v>
      </c>
      <c r="E17" s="23"/>
      <c r="H17" s="2">
        <f t="shared" si="4"/>
        <v>320</v>
      </c>
      <c r="I17" s="5">
        <f t="shared" si="0"/>
        <v>0.75396674597597246</v>
      </c>
      <c r="K17">
        <f t="shared" si="1"/>
        <v>1.0154639175257731</v>
      </c>
      <c r="L17">
        <f t="shared" si="2"/>
        <v>0.78723404255319152</v>
      </c>
      <c r="M17">
        <f>PRODUCT(L2:L17)</f>
        <v>0.24228655472416921</v>
      </c>
      <c r="P17">
        <f t="shared" si="3"/>
        <v>0.68702574017468665</v>
      </c>
      <c r="Q17" s="1">
        <f t="shared" si="5"/>
        <v>5.768320995793772</v>
      </c>
      <c r="R17" s="1">
        <f t="shared" si="6"/>
        <v>6.2323106293529866</v>
      </c>
      <c r="S17">
        <f t="shared" si="7"/>
        <v>5.348432819301741</v>
      </c>
      <c r="T17" t="e">
        <f>NA()</f>
        <v>#N/A</v>
      </c>
      <c r="V17">
        <f t="shared" si="8"/>
        <v>0.44193890502562261</v>
      </c>
      <c r="X17" t="s">
        <v>86</v>
      </c>
      <c r="Y17">
        <f>_xlfn.CONFIDENCE.NORM(0.05,Y2,COUNT(H2:H50))</f>
        <v>0.29989204906448097</v>
      </c>
      <c r="AA17">
        <f t="shared" si="9"/>
        <v>0.68702574017468665</v>
      </c>
      <c r="AB17">
        <f t="shared" si="10"/>
        <v>5.768320995793772</v>
      </c>
      <c r="AC17" s="5"/>
    </row>
    <row r="18" spans="1:29" x14ac:dyDescent="0.25">
      <c r="A18" s="3">
        <v>17</v>
      </c>
      <c r="B18" s="17"/>
      <c r="C18" s="9" t="b">
        <v>1</v>
      </c>
      <c r="D18" s="29">
        <v>396</v>
      </c>
      <c r="E18" s="23"/>
      <c r="H18" s="2">
        <f>IF(C18,D18,"")</f>
        <v>396</v>
      </c>
      <c r="I18" s="5">
        <f t="shared" si="0"/>
        <v>0.82046222003652047</v>
      </c>
      <c r="K18">
        <f t="shared" si="1"/>
        <v>1.0154639175257731</v>
      </c>
      <c r="L18">
        <f t="shared" si="2"/>
        <v>0.72972972972972971</v>
      </c>
      <c r="M18">
        <f>PRODUCT(L2:L18)</f>
        <v>0.17680370209601537</v>
      </c>
      <c r="P18">
        <f t="shared" si="3"/>
        <v>0.91712801960267054</v>
      </c>
      <c r="Q18" s="1">
        <f t="shared" si="5"/>
        <v>5.9814142112544806</v>
      </c>
      <c r="R18" s="1">
        <f t="shared" si="6"/>
        <v>6.3809370836750441</v>
      </c>
      <c r="S18">
        <f t="shared" si="7"/>
        <v>5.4814680469957819</v>
      </c>
      <c r="T18" t="e">
        <f>NA()</f>
        <v>#N/A</v>
      </c>
      <c r="V18">
        <f t="shared" si="8"/>
        <v>0.44973451833963068</v>
      </c>
      <c r="X18" t="s">
        <v>71</v>
      </c>
      <c r="Y18">
        <f>EXP(Y8+Y17)</f>
        <v>289.97055982799975</v>
      </c>
      <c r="AA18">
        <f t="shared" si="9"/>
        <v>0.91712801960267054</v>
      </c>
      <c r="AB18">
        <f t="shared" si="10"/>
        <v>5.9814142112544806</v>
      </c>
      <c r="AC18" s="5"/>
    </row>
    <row r="19" spans="1:29" x14ac:dyDescent="0.25">
      <c r="A19" s="3">
        <v>18</v>
      </c>
      <c r="B19" s="17"/>
      <c r="C19" s="9" t="b">
        <v>0</v>
      </c>
      <c r="D19" s="29">
        <v>612</v>
      </c>
      <c r="E19" s="23"/>
      <c r="H19" s="2" t="str">
        <f>IF(C19,D19,"")</f>
        <v/>
      </c>
      <c r="I19" s="5" t="str">
        <f t="shared" si="0"/>
        <v/>
      </c>
      <c r="K19">
        <f t="shared" si="1"/>
        <v>1.0154639175257731</v>
      </c>
      <c r="L19" t="str">
        <f t="shared" si="2"/>
        <v/>
      </c>
      <c r="M19">
        <f>PRODUCT(L2:L19)</f>
        <v>0.17680370209601537</v>
      </c>
      <c r="P19" t="e">
        <f t="shared" si="3"/>
        <v>#N/A</v>
      </c>
      <c r="Q19" s="1" t="e">
        <f t="shared" si="5"/>
        <v>#N/A</v>
      </c>
      <c r="R19" s="1" t="e">
        <f t="shared" si="6"/>
        <v>#N/A</v>
      </c>
      <c r="S19" t="e">
        <f t="shared" si="7"/>
        <v>#N/A</v>
      </c>
      <c r="T19" t="e">
        <f>NA()</f>
        <v>#N/A</v>
      </c>
      <c r="V19" t="str">
        <f t="shared" si="8"/>
        <v/>
      </c>
      <c r="X19" t="s">
        <v>72</v>
      </c>
      <c r="Y19">
        <f>EXP(Y8-Y17)</f>
        <v>159.17357952238271</v>
      </c>
      <c r="AA19" t="str">
        <f t="shared" si="9"/>
        <v/>
      </c>
      <c r="AB19" t="str">
        <f t="shared" si="10"/>
        <v/>
      </c>
      <c r="AC19" s="5"/>
    </row>
    <row r="20" spans="1:29" x14ac:dyDescent="0.25">
      <c r="A20" s="3">
        <v>19</v>
      </c>
      <c r="B20" s="17"/>
      <c r="C20" s="9" t="b">
        <v>1</v>
      </c>
      <c r="D20" s="37">
        <v>877</v>
      </c>
      <c r="E20" s="45"/>
      <c r="H20" s="2">
        <f t="shared" si="4"/>
        <v>877</v>
      </c>
      <c r="I20" s="5">
        <f t="shared" si="0"/>
        <v>0.92607267883856725</v>
      </c>
      <c r="K20">
        <f t="shared" si="1"/>
        <v>1.0154639175257731</v>
      </c>
      <c r="L20">
        <f t="shared" si="2"/>
        <v>0.41176470588235292</v>
      </c>
      <c r="M20">
        <f>PRODUCT(L2:L20)</f>
        <v>7.2801524392476918E-2</v>
      </c>
      <c r="P20">
        <f t="shared" si="3"/>
        <v>1.4471509802035238</v>
      </c>
      <c r="Q20" s="1">
        <f t="shared" si="5"/>
        <v>6.776506992372183</v>
      </c>
      <c r="R20" s="1">
        <f t="shared" si="6"/>
        <v>6.7294015977323154</v>
      </c>
      <c r="S20">
        <f t="shared" si="7"/>
        <v>5.781789624763003</v>
      </c>
      <c r="T20" t="e">
        <f>NA()</f>
        <v>#N/A</v>
      </c>
      <c r="V20">
        <f t="shared" si="8"/>
        <v>0.47380598648465588</v>
      </c>
      <c r="AA20">
        <f t="shared" si="9"/>
        <v>1.4471509802035238</v>
      </c>
      <c r="AB20">
        <f t="shared" si="10"/>
        <v>6.776506992372183</v>
      </c>
      <c r="AC20" s="5"/>
    </row>
    <row r="21" spans="1:29" x14ac:dyDescent="0.25">
      <c r="A21" s="3">
        <v>20</v>
      </c>
      <c r="B21" s="17"/>
      <c r="D21" s="37"/>
      <c r="E21" s="45"/>
      <c r="H21" s="2" t="str">
        <f t="shared" si="4"/>
        <v/>
      </c>
      <c r="I21" s="5" t="str">
        <f t="shared" si="0"/>
        <v/>
      </c>
      <c r="K21">
        <f t="shared" si="1"/>
        <v>1.0154639175257731</v>
      </c>
      <c r="L21" t="str">
        <f t="shared" si="2"/>
        <v/>
      </c>
      <c r="M21">
        <f>PRODUCT(L2:L21)</f>
        <v>7.2801524392476918E-2</v>
      </c>
      <c r="P21" t="e">
        <f t="shared" si="3"/>
        <v>#N/A</v>
      </c>
      <c r="Q21" s="1" t="e">
        <f t="shared" si="5"/>
        <v>#N/A</v>
      </c>
      <c r="R21" s="1" t="e">
        <f t="shared" si="6"/>
        <v>#N/A</v>
      </c>
      <c r="S21" t="e">
        <f t="shared" si="7"/>
        <v>#N/A</v>
      </c>
      <c r="T21" t="e">
        <f>NA()</f>
        <v>#N/A</v>
      </c>
      <c r="V21" t="str">
        <f t="shared" si="8"/>
        <v/>
      </c>
      <c r="X21" t="s">
        <v>87</v>
      </c>
      <c r="Y21">
        <f>_xlfn.CONFIDENCE.NORM(0.05,STDEV(AB:AB),Y3)</f>
        <v>0.27497893529704842</v>
      </c>
      <c r="AA21" t="str">
        <f t="shared" si="9"/>
        <v/>
      </c>
      <c r="AB21" t="str">
        <f t="shared" si="10"/>
        <v/>
      </c>
      <c r="AC21" s="5"/>
    </row>
    <row r="22" spans="1:29" x14ac:dyDescent="0.25">
      <c r="A22" s="3">
        <v>21</v>
      </c>
      <c r="B22" s="17"/>
      <c r="D22" s="37"/>
      <c r="E22" s="23"/>
      <c r="H22" s="2" t="str">
        <f t="shared" si="4"/>
        <v/>
      </c>
      <c r="I22" s="5" t="str">
        <f t="shared" si="0"/>
        <v/>
      </c>
      <c r="K22">
        <f t="shared" si="1"/>
        <v>1.0154639175257731</v>
      </c>
      <c r="L22" t="str">
        <f t="shared" si="2"/>
        <v/>
      </c>
      <c r="M22">
        <f>PRODUCT(L2:L22)</f>
        <v>7.2801524392476918E-2</v>
      </c>
      <c r="P22" t="e">
        <f t="shared" si="3"/>
        <v>#N/A</v>
      </c>
      <c r="Q22" s="1" t="e">
        <f t="shared" si="5"/>
        <v>#N/A</v>
      </c>
      <c r="R22" s="1" t="e">
        <f t="shared" si="6"/>
        <v>#N/A</v>
      </c>
      <c r="S22" t="e">
        <f t="shared" si="7"/>
        <v>#N/A</v>
      </c>
      <c r="T22" t="e">
        <f>NA()</f>
        <v>#N/A</v>
      </c>
      <c r="V22" t="str">
        <f t="shared" si="8"/>
        <v/>
      </c>
      <c r="X22" t="s">
        <v>70</v>
      </c>
      <c r="Y22">
        <f>EXP(AVERAGE(AB:AB)+Y21)</f>
        <v>253.89922192555147</v>
      </c>
      <c r="AA22" t="str">
        <f t="shared" si="9"/>
        <v/>
      </c>
      <c r="AB22" t="str">
        <f t="shared" si="10"/>
        <v/>
      </c>
      <c r="AC22" s="5"/>
    </row>
    <row r="23" spans="1:29" x14ac:dyDescent="0.25">
      <c r="A23" s="3">
        <v>22</v>
      </c>
      <c r="B23" s="17"/>
      <c r="D23" s="30"/>
      <c r="E23" s="25"/>
      <c r="F23" s="22"/>
      <c r="G23" s="22"/>
      <c r="H23" s="2" t="str">
        <f t="shared" si="4"/>
        <v/>
      </c>
      <c r="I23" s="5" t="str">
        <f t="shared" si="0"/>
        <v/>
      </c>
      <c r="K23">
        <f t="shared" si="1"/>
        <v>1.0154639175257731</v>
      </c>
      <c r="L23" t="str">
        <f t="shared" si="2"/>
        <v/>
      </c>
      <c r="M23">
        <f>PRODUCT(L2:L23)</f>
        <v>7.2801524392476918E-2</v>
      </c>
      <c r="P23" t="e">
        <f t="shared" si="3"/>
        <v>#N/A</v>
      </c>
      <c r="Q23" s="1" t="e">
        <f t="shared" si="5"/>
        <v>#N/A</v>
      </c>
      <c r="R23" s="1" t="e">
        <f t="shared" si="6"/>
        <v>#N/A</v>
      </c>
      <c r="S23" t="e">
        <f t="shared" si="7"/>
        <v>#N/A</v>
      </c>
      <c r="T23" t="e">
        <f>NA()</f>
        <v>#N/A</v>
      </c>
      <c r="V23" t="str">
        <f t="shared" si="8"/>
        <v/>
      </c>
      <c r="X23" t="s">
        <v>45</v>
      </c>
      <c r="Y23">
        <f>EXP(AVERAGE(AB:AB)-Y21)</f>
        <v>146.49327949053105</v>
      </c>
      <c r="AA23" t="str">
        <f t="shared" si="9"/>
        <v/>
      </c>
      <c r="AB23" t="str">
        <f t="shared" si="10"/>
        <v/>
      </c>
      <c r="AC23" s="5"/>
    </row>
    <row r="24" spans="1:29" x14ac:dyDescent="0.25">
      <c r="A24" s="3">
        <v>23</v>
      </c>
      <c r="B24" s="17"/>
      <c r="D24" s="37"/>
      <c r="E24" s="27"/>
      <c r="H24" s="2" t="str">
        <f t="shared" si="4"/>
        <v/>
      </c>
      <c r="I24" s="5" t="str">
        <f t="shared" si="0"/>
        <v/>
      </c>
      <c r="K24">
        <f t="shared" si="1"/>
        <v>1.0154639175257731</v>
      </c>
      <c r="L24" t="str">
        <f t="shared" si="2"/>
        <v/>
      </c>
      <c r="M24">
        <f>PRODUCT(L2:L24)</f>
        <v>7.2801524392476918E-2</v>
      </c>
      <c r="P24" t="e">
        <f t="shared" si="3"/>
        <v>#N/A</v>
      </c>
      <c r="Q24" s="1" t="e">
        <f t="shared" si="5"/>
        <v>#N/A</v>
      </c>
      <c r="R24" s="1" t="e">
        <f t="shared" si="6"/>
        <v>#N/A</v>
      </c>
      <c r="S24" t="e">
        <f t="shared" si="7"/>
        <v>#N/A</v>
      </c>
      <c r="T24" t="e">
        <f>NA()</f>
        <v>#N/A</v>
      </c>
      <c r="V24" t="str">
        <f t="shared" si="8"/>
        <v/>
      </c>
      <c r="AA24" t="str">
        <f t="shared" si="9"/>
        <v/>
      </c>
      <c r="AB24" t="str">
        <f t="shared" si="10"/>
        <v/>
      </c>
      <c r="AC24" s="5"/>
    </row>
    <row r="25" spans="1:29" x14ac:dyDescent="0.25">
      <c r="A25" s="3">
        <v>24</v>
      </c>
      <c r="B25" s="17"/>
      <c r="D25" s="38"/>
      <c r="E25" s="51"/>
      <c r="F25" s="52"/>
      <c r="G25" s="52"/>
      <c r="H25" s="2" t="str">
        <f t="shared" si="4"/>
        <v/>
      </c>
      <c r="I25" s="5" t="str">
        <f t="shared" si="0"/>
        <v/>
      </c>
      <c r="K25">
        <f t="shared" si="1"/>
        <v>1.0154639175257731</v>
      </c>
      <c r="L25" t="str">
        <f t="shared" si="2"/>
        <v/>
      </c>
      <c r="M25">
        <f>PRODUCT(L2:L25)</f>
        <v>7.2801524392476918E-2</v>
      </c>
      <c r="P25" t="e">
        <f t="shared" si="3"/>
        <v>#N/A</v>
      </c>
      <c r="Q25" s="1" t="e">
        <f t="shared" si="5"/>
        <v>#N/A</v>
      </c>
      <c r="R25" s="1" t="e">
        <f t="shared" si="6"/>
        <v>#N/A</v>
      </c>
      <c r="S25" t="e">
        <f t="shared" si="7"/>
        <v>#N/A</v>
      </c>
      <c r="T25" t="e">
        <f>NA()</f>
        <v>#N/A</v>
      </c>
      <c r="V25" t="str">
        <f t="shared" si="8"/>
        <v/>
      </c>
      <c r="AA25" t="str">
        <f t="shared" si="9"/>
        <v/>
      </c>
      <c r="AB25" t="str">
        <f t="shared" si="10"/>
        <v/>
      </c>
      <c r="AC25" s="5"/>
    </row>
    <row r="26" spans="1:29" x14ac:dyDescent="0.25">
      <c r="A26" s="3">
        <v>25</v>
      </c>
      <c r="B26" s="17"/>
      <c r="D26" s="37"/>
      <c r="E26" s="27"/>
      <c r="H26" s="2" t="str">
        <f t="shared" si="4"/>
        <v/>
      </c>
      <c r="I26" s="5" t="str">
        <f t="shared" si="0"/>
        <v/>
      </c>
      <c r="K26">
        <f t="shared" si="1"/>
        <v>1.0154639175257731</v>
      </c>
      <c r="L26" t="str">
        <f t="shared" si="2"/>
        <v/>
      </c>
      <c r="M26">
        <f>PRODUCT(L2:L26)</f>
        <v>7.2801524392476918E-2</v>
      </c>
      <c r="P26" t="e">
        <f t="shared" si="3"/>
        <v>#N/A</v>
      </c>
      <c r="Q26" s="1" t="e">
        <f t="shared" si="5"/>
        <v>#N/A</v>
      </c>
      <c r="R26" s="1" t="e">
        <f t="shared" si="6"/>
        <v>#N/A</v>
      </c>
      <c r="S26" t="e">
        <f t="shared" si="7"/>
        <v>#N/A</v>
      </c>
      <c r="T26" t="e">
        <f>NA()</f>
        <v>#N/A</v>
      </c>
      <c r="V26" t="str">
        <f t="shared" si="8"/>
        <v/>
      </c>
      <c r="AA26" t="str">
        <f t="shared" si="9"/>
        <v/>
      </c>
      <c r="AB26" t="str">
        <f t="shared" si="10"/>
        <v/>
      </c>
      <c r="AC26" s="5"/>
    </row>
    <row r="27" spans="1:29" x14ac:dyDescent="0.25">
      <c r="A27" s="3">
        <v>26</v>
      </c>
      <c r="B27" s="17"/>
      <c r="D27" s="37"/>
      <c r="E27" s="27"/>
      <c r="H27" s="2" t="str">
        <f t="shared" si="4"/>
        <v/>
      </c>
      <c r="I27" s="5" t="str">
        <f t="shared" si="0"/>
        <v/>
      </c>
      <c r="K27">
        <f t="shared" si="1"/>
        <v>1.0154639175257731</v>
      </c>
      <c r="L27" t="str">
        <f t="shared" si="2"/>
        <v/>
      </c>
      <c r="M27">
        <f>PRODUCT(L2:L27)</f>
        <v>7.2801524392476918E-2</v>
      </c>
      <c r="P27" t="e">
        <f t="shared" si="3"/>
        <v>#N/A</v>
      </c>
      <c r="Q27" s="1" t="e">
        <f t="shared" si="5"/>
        <v>#N/A</v>
      </c>
      <c r="R27" s="1" t="e">
        <f t="shared" si="6"/>
        <v>#N/A</v>
      </c>
      <c r="S27" t="e">
        <f t="shared" si="7"/>
        <v>#N/A</v>
      </c>
      <c r="T27" t="e">
        <f>NA()</f>
        <v>#N/A</v>
      </c>
      <c r="V27" t="str">
        <f t="shared" si="8"/>
        <v/>
      </c>
      <c r="AA27" t="str">
        <f t="shared" si="9"/>
        <v/>
      </c>
      <c r="AB27" t="str">
        <f t="shared" si="10"/>
        <v/>
      </c>
      <c r="AC27" s="5"/>
    </row>
    <row r="28" spans="1:29" x14ac:dyDescent="0.25">
      <c r="A28" s="3">
        <v>27</v>
      </c>
      <c r="B28" s="17"/>
      <c r="D28" s="30"/>
      <c r="E28" s="25"/>
      <c r="F28" s="22"/>
      <c r="G28" s="22"/>
      <c r="H28" s="2" t="str">
        <f t="shared" si="4"/>
        <v/>
      </c>
      <c r="I28" s="5" t="str">
        <f t="shared" si="0"/>
        <v/>
      </c>
      <c r="K28">
        <f t="shared" si="1"/>
        <v>1.0154639175257731</v>
      </c>
      <c r="L28" t="str">
        <f t="shared" si="2"/>
        <v/>
      </c>
      <c r="M28">
        <f>PRODUCT(L2:L28)</f>
        <v>7.2801524392476918E-2</v>
      </c>
      <c r="P28" t="e">
        <f t="shared" si="3"/>
        <v>#N/A</v>
      </c>
      <c r="Q28" s="1" t="e">
        <f t="shared" si="5"/>
        <v>#N/A</v>
      </c>
      <c r="R28" s="1" t="e">
        <f t="shared" si="6"/>
        <v>#N/A</v>
      </c>
      <c r="S28" t="e">
        <f t="shared" si="7"/>
        <v>#N/A</v>
      </c>
      <c r="T28" t="e">
        <f>NA()</f>
        <v>#N/A</v>
      </c>
      <c r="V28" t="str">
        <f t="shared" si="8"/>
        <v/>
      </c>
      <c r="AA28" t="str">
        <f t="shared" si="9"/>
        <v/>
      </c>
      <c r="AB28" t="str">
        <f t="shared" si="10"/>
        <v/>
      </c>
      <c r="AC28" s="5"/>
    </row>
    <row r="29" spans="1:29" x14ac:dyDescent="0.25">
      <c r="A29" s="3">
        <v>28</v>
      </c>
      <c r="B29" s="17"/>
      <c r="D29" s="30"/>
      <c r="E29" s="25"/>
      <c r="F29" s="22"/>
      <c r="G29" s="22"/>
      <c r="H29" s="2" t="str">
        <f t="shared" si="4"/>
        <v/>
      </c>
      <c r="I29" s="5" t="str">
        <f t="shared" si="0"/>
        <v/>
      </c>
      <c r="K29">
        <f t="shared" si="1"/>
        <v>1.0154639175257731</v>
      </c>
      <c r="L29" t="str">
        <f t="shared" si="2"/>
        <v/>
      </c>
      <c r="M29">
        <f>PRODUCT(L2:L29)</f>
        <v>7.2801524392476918E-2</v>
      </c>
      <c r="P29" t="e">
        <f t="shared" si="3"/>
        <v>#N/A</v>
      </c>
      <c r="Q29" s="1" t="e">
        <f t="shared" si="5"/>
        <v>#N/A</v>
      </c>
      <c r="R29" s="1" t="e">
        <f t="shared" si="6"/>
        <v>#N/A</v>
      </c>
      <c r="S29" t="e">
        <f t="shared" si="7"/>
        <v>#N/A</v>
      </c>
      <c r="T29" t="e">
        <f>NA()</f>
        <v>#N/A</v>
      </c>
      <c r="V29" t="str">
        <f t="shared" si="8"/>
        <v/>
      </c>
      <c r="AA29" t="str">
        <f t="shared" si="9"/>
        <v/>
      </c>
      <c r="AB29" t="str">
        <f t="shared" si="10"/>
        <v/>
      </c>
      <c r="AC29" s="5"/>
    </row>
    <row r="30" spans="1:29" x14ac:dyDescent="0.25">
      <c r="A30" s="3">
        <v>29</v>
      </c>
      <c r="B30" s="17"/>
      <c r="D30" s="30"/>
      <c r="E30" s="25"/>
      <c r="F30" s="22"/>
      <c r="G30" s="22"/>
      <c r="H30" s="2" t="str">
        <f t="shared" si="4"/>
        <v/>
      </c>
      <c r="I30" s="5" t="str">
        <f t="shared" si="0"/>
        <v/>
      </c>
      <c r="K30">
        <f t="shared" si="1"/>
        <v>1.0154639175257731</v>
      </c>
      <c r="L30" t="str">
        <f t="shared" si="2"/>
        <v/>
      </c>
      <c r="M30">
        <f>PRODUCT(L2:L30)</f>
        <v>7.2801524392476918E-2</v>
      </c>
      <c r="P30" t="e">
        <f t="shared" si="3"/>
        <v>#N/A</v>
      </c>
      <c r="Q30" s="1" t="e">
        <f t="shared" si="5"/>
        <v>#N/A</v>
      </c>
      <c r="R30" s="1" t="e">
        <f t="shared" si="6"/>
        <v>#N/A</v>
      </c>
      <c r="S30" t="e">
        <f t="shared" si="7"/>
        <v>#N/A</v>
      </c>
      <c r="T30" t="e">
        <f>NA()</f>
        <v>#N/A</v>
      </c>
      <c r="V30" t="str">
        <f t="shared" si="8"/>
        <v/>
      </c>
      <c r="AA30" t="str">
        <f t="shared" si="9"/>
        <v/>
      </c>
      <c r="AB30" t="str">
        <f t="shared" si="10"/>
        <v/>
      </c>
      <c r="AC30" s="5"/>
    </row>
    <row r="31" spans="1:29" x14ac:dyDescent="0.25">
      <c r="A31" s="3">
        <v>30</v>
      </c>
      <c r="B31" s="17"/>
      <c r="D31" s="30"/>
      <c r="E31" s="25"/>
      <c r="F31" s="22"/>
      <c r="G31" s="22"/>
      <c r="H31" s="2" t="str">
        <f t="shared" si="4"/>
        <v/>
      </c>
      <c r="I31" s="5" t="str">
        <f t="shared" si="0"/>
        <v/>
      </c>
      <c r="K31">
        <f t="shared" si="1"/>
        <v>1.0154639175257731</v>
      </c>
      <c r="L31" t="str">
        <f t="shared" si="2"/>
        <v/>
      </c>
      <c r="M31">
        <f>PRODUCT(L2:L31)</f>
        <v>7.2801524392476918E-2</v>
      </c>
      <c r="P31" t="e">
        <f t="shared" si="3"/>
        <v>#N/A</v>
      </c>
      <c r="Q31" s="1" t="e">
        <f t="shared" si="5"/>
        <v>#N/A</v>
      </c>
      <c r="R31" s="1" t="e">
        <f t="shared" si="6"/>
        <v>#N/A</v>
      </c>
      <c r="S31" t="e">
        <f t="shared" si="7"/>
        <v>#N/A</v>
      </c>
      <c r="T31" t="e">
        <f>NA()</f>
        <v>#N/A</v>
      </c>
      <c r="V31" t="str">
        <f t="shared" si="8"/>
        <v/>
      </c>
      <c r="AA31" t="str">
        <f t="shared" si="9"/>
        <v/>
      </c>
      <c r="AB31" t="str">
        <f t="shared" si="10"/>
        <v/>
      </c>
      <c r="AC31" s="5"/>
    </row>
    <row r="32" spans="1:29" x14ac:dyDescent="0.25">
      <c r="A32" s="3">
        <v>31</v>
      </c>
      <c r="B32" s="17"/>
      <c r="D32" s="30"/>
      <c r="E32" s="25"/>
      <c r="F32" s="22"/>
      <c r="G32" s="22"/>
      <c r="H32" s="2" t="str">
        <f t="shared" si="4"/>
        <v/>
      </c>
      <c r="I32" s="5" t="str">
        <f t="shared" si="0"/>
        <v/>
      </c>
      <c r="K32">
        <f t="shared" si="1"/>
        <v>1.0154639175257731</v>
      </c>
      <c r="L32" t="str">
        <f t="shared" si="2"/>
        <v/>
      </c>
      <c r="M32">
        <f>PRODUCT(L2:L32)</f>
        <v>7.2801524392476918E-2</v>
      </c>
      <c r="P32" t="e">
        <f t="shared" si="3"/>
        <v>#N/A</v>
      </c>
      <c r="Q32" s="1" t="e">
        <f t="shared" si="5"/>
        <v>#N/A</v>
      </c>
      <c r="R32" s="1" t="e">
        <f t="shared" si="6"/>
        <v>#N/A</v>
      </c>
      <c r="S32" t="e">
        <f t="shared" si="7"/>
        <v>#N/A</v>
      </c>
      <c r="T32" t="e">
        <f>NA()</f>
        <v>#N/A</v>
      </c>
      <c r="V32" t="str">
        <f t="shared" si="8"/>
        <v/>
      </c>
      <c r="AA32" t="str">
        <f t="shared" si="9"/>
        <v/>
      </c>
      <c r="AB32" t="str">
        <f t="shared" si="10"/>
        <v/>
      </c>
      <c r="AC32" s="5"/>
    </row>
    <row r="33" spans="1:29" x14ac:dyDescent="0.25">
      <c r="A33" s="3">
        <v>32</v>
      </c>
      <c r="B33" s="17"/>
      <c r="D33" s="30"/>
      <c r="E33" s="25"/>
      <c r="F33" s="22"/>
      <c r="G33" s="22"/>
      <c r="H33" s="2" t="str">
        <f t="shared" si="4"/>
        <v/>
      </c>
      <c r="I33" s="5" t="str">
        <f t="shared" si="0"/>
        <v/>
      </c>
      <c r="K33">
        <f t="shared" si="1"/>
        <v>1.0154639175257731</v>
      </c>
      <c r="L33" t="str">
        <f t="shared" si="2"/>
        <v/>
      </c>
      <c r="M33">
        <f>PRODUCT(L2:L33)</f>
        <v>7.2801524392476918E-2</v>
      </c>
      <c r="P33" t="e">
        <f t="shared" si="3"/>
        <v>#N/A</v>
      </c>
      <c r="Q33" s="1" t="e">
        <f t="shared" si="5"/>
        <v>#N/A</v>
      </c>
      <c r="R33" s="1" t="e">
        <f t="shared" si="6"/>
        <v>#N/A</v>
      </c>
      <c r="S33" t="e">
        <f t="shared" si="7"/>
        <v>#N/A</v>
      </c>
      <c r="T33" t="e">
        <f>NA()</f>
        <v>#N/A</v>
      </c>
      <c r="V33" t="str">
        <f t="shared" si="8"/>
        <v/>
      </c>
      <c r="AA33" t="str">
        <f t="shared" si="9"/>
        <v/>
      </c>
      <c r="AB33" t="str">
        <f t="shared" si="10"/>
        <v/>
      </c>
      <c r="AC33" s="5"/>
    </row>
    <row r="34" spans="1:29" x14ac:dyDescent="0.25">
      <c r="A34" s="3">
        <v>33</v>
      </c>
      <c r="B34" s="17"/>
      <c r="D34" s="30"/>
      <c r="E34" s="22"/>
      <c r="F34" s="22"/>
      <c r="G34" s="22"/>
      <c r="H34" s="2" t="str">
        <f t="shared" si="4"/>
        <v/>
      </c>
      <c r="I34" s="5" t="str">
        <f t="shared" si="0"/>
        <v/>
      </c>
      <c r="J34" s="1"/>
      <c r="K34">
        <f t="shared" si="1"/>
        <v>1.0154639175257731</v>
      </c>
      <c r="L34" t="str">
        <f t="shared" si="2"/>
        <v/>
      </c>
      <c r="M34">
        <f>PRODUCT(L2:L34)</f>
        <v>7.2801524392476918E-2</v>
      </c>
      <c r="P34" t="e">
        <f t="shared" ref="P34:P50" si="11">IF(C34,_xlfn.NORM.S.INV(I34),NA())</f>
        <v>#N/A</v>
      </c>
      <c r="Q34" s="1" t="e">
        <f t="shared" si="5"/>
        <v>#N/A</v>
      </c>
      <c r="R34" s="1" t="e">
        <f t="shared" si="6"/>
        <v>#N/A</v>
      </c>
      <c r="S34" t="e">
        <f t="shared" si="7"/>
        <v>#N/A</v>
      </c>
      <c r="T34" t="e">
        <f>NA()</f>
        <v>#N/A</v>
      </c>
      <c r="V34" t="str">
        <f t="shared" si="8"/>
        <v/>
      </c>
      <c r="AA34" t="str">
        <f t="shared" si="9"/>
        <v/>
      </c>
      <c r="AB34" t="str">
        <f t="shared" si="10"/>
        <v/>
      </c>
      <c r="AC34" s="5"/>
    </row>
    <row r="35" spans="1:29" x14ac:dyDescent="0.25">
      <c r="A35" s="3">
        <v>34</v>
      </c>
      <c r="B35" s="17"/>
      <c r="D35" s="30"/>
      <c r="E35" s="24"/>
      <c r="F35" s="22"/>
      <c r="G35" s="22"/>
      <c r="H35" s="2" t="str">
        <f t="shared" si="4"/>
        <v/>
      </c>
      <c r="I35" s="5" t="str">
        <f t="shared" si="0"/>
        <v/>
      </c>
      <c r="K35">
        <f t="shared" si="1"/>
        <v>1.0154639175257731</v>
      </c>
      <c r="L35" t="str">
        <f t="shared" si="2"/>
        <v/>
      </c>
      <c r="M35">
        <f>PRODUCT(L2:L35)</f>
        <v>7.2801524392476918E-2</v>
      </c>
      <c r="P35" t="e">
        <f t="shared" si="11"/>
        <v>#N/A</v>
      </c>
      <c r="Q35" s="1" t="e">
        <f t="shared" si="5"/>
        <v>#N/A</v>
      </c>
      <c r="R35" s="1" t="e">
        <f t="shared" si="6"/>
        <v>#N/A</v>
      </c>
      <c r="S35" t="e">
        <f t="shared" si="7"/>
        <v>#N/A</v>
      </c>
      <c r="T35" t="e">
        <f>NA()</f>
        <v>#N/A</v>
      </c>
      <c r="V35" t="str">
        <f t="shared" si="8"/>
        <v/>
      </c>
      <c r="AA35" t="str">
        <f t="shared" si="9"/>
        <v/>
      </c>
      <c r="AB35" t="str">
        <f t="shared" si="10"/>
        <v/>
      </c>
      <c r="AC35" s="5"/>
    </row>
    <row r="36" spans="1:29" x14ac:dyDescent="0.25">
      <c r="A36" s="3">
        <v>35</v>
      </c>
      <c r="B36" s="17"/>
      <c r="D36" s="30"/>
      <c r="E36" s="24"/>
      <c r="F36" s="22"/>
      <c r="G36" s="22"/>
      <c r="H36" s="2" t="str">
        <f t="shared" si="4"/>
        <v/>
      </c>
      <c r="I36" s="5" t="str">
        <f t="shared" si="0"/>
        <v/>
      </c>
      <c r="K36">
        <f t="shared" si="1"/>
        <v>1.0154639175257731</v>
      </c>
      <c r="L36" t="str">
        <f t="shared" si="2"/>
        <v/>
      </c>
      <c r="M36">
        <f>PRODUCT(L2:L36)</f>
        <v>7.2801524392476918E-2</v>
      </c>
      <c r="P36" t="e">
        <f t="shared" si="11"/>
        <v>#N/A</v>
      </c>
      <c r="Q36" s="1" t="e">
        <f t="shared" si="5"/>
        <v>#N/A</v>
      </c>
      <c r="R36" s="1" t="e">
        <f t="shared" si="6"/>
        <v>#N/A</v>
      </c>
      <c r="S36" t="e">
        <f t="shared" si="7"/>
        <v>#N/A</v>
      </c>
      <c r="T36" t="e">
        <f>NA()</f>
        <v>#N/A</v>
      </c>
      <c r="V36" t="str">
        <f t="shared" si="8"/>
        <v/>
      </c>
      <c r="AA36" t="str">
        <f t="shared" si="9"/>
        <v/>
      </c>
      <c r="AB36" t="str">
        <f t="shared" si="10"/>
        <v/>
      </c>
      <c r="AC36" s="5"/>
    </row>
    <row r="37" spans="1:29" x14ac:dyDescent="0.25">
      <c r="A37" s="3">
        <v>36</v>
      </c>
      <c r="B37" s="17"/>
      <c r="C37" s="26"/>
      <c r="D37" s="30"/>
      <c r="E37" s="24"/>
      <c r="F37" s="22"/>
      <c r="G37" s="22"/>
      <c r="H37" s="2" t="str">
        <f t="shared" si="4"/>
        <v/>
      </c>
      <c r="I37" s="5" t="str">
        <f t="shared" si="0"/>
        <v/>
      </c>
      <c r="K37">
        <f t="shared" si="1"/>
        <v>1.0154639175257731</v>
      </c>
      <c r="L37" t="str">
        <f t="shared" si="2"/>
        <v/>
      </c>
      <c r="M37">
        <f>PRODUCT(L2:L37)</f>
        <v>7.2801524392476918E-2</v>
      </c>
      <c r="P37" t="e">
        <f t="shared" si="11"/>
        <v>#N/A</v>
      </c>
      <c r="Q37" s="1" t="e">
        <f t="shared" si="5"/>
        <v>#N/A</v>
      </c>
      <c r="R37" s="1" t="e">
        <f t="shared" si="6"/>
        <v>#N/A</v>
      </c>
      <c r="S37" t="e">
        <f t="shared" si="7"/>
        <v>#N/A</v>
      </c>
      <c r="T37" t="e">
        <f>NA()</f>
        <v>#N/A</v>
      </c>
      <c r="V37" t="str">
        <f t="shared" si="8"/>
        <v/>
      </c>
      <c r="AA37" t="str">
        <f t="shared" si="9"/>
        <v/>
      </c>
      <c r="AB37" t="str">
        <f t="shared" si="10"/>
        <v/>
      </c>
      <c r="AC37" s="5"/>
    </row>
    <row r="38" spans="1:29" x14ac:dyDescent="0.25">
      <c r="A38" s="3">
        <v>37</v>
      </c>
      <c r="B38" s="17"/>
      <c r="D38" s="30"/>
      <c r="E38" s="21"/>
      <c r="F38" s="22"/>
      <c r="G38" s="22"/>
      <c r="H38" s="2" t="str">
        <f t="shared" si="4"/>
        <v/>
      </c>
      <c r="I38" s="5" t="str">
        <f t="shared" si="0"/>
        <v/>
      </c>
      <c r="K38">
        <f t="shared" si="1"/>
        <v>1.0154639175257731</v>
      </c>
      <c r="L38" t="str">
        <f t="shared" si="2"/>
        <v/>
      </c>
      <c r="M38">
        <f>PRODUCT(L2:L38)</f>
        <v>7.2801524392476918E-2</v>
      </c>
      <c r="P38" t="e">
        <f t="shared" si="11"/>
        <v>#N/A</v>
      </c>
      <c r="Q38" s="1" t="e">
        <f t="shared" si="5"/>
        <v>#N/A</v>
      </c>
      <c r="R38" s="1" t="e">
        <f t="shared" si="6"/>
        <v>#N/A</v>
      </c>
      <c r="S38" t="e">
        <f t="shared" si="7"/>
        <v>#N/A</v>
      </c>
      <c r="T38" t="e">
        <f>NA()</f>
        <v>#N/A</v>
      </c>
      <c r="V38" t="str">
        <f t="shared" si="8"/>
        <v/>
      </c>
      <c r="AA38" t="str">
        <f t="shared" si="9"/>
        <v/>
      </c>
      <c r="AB38" t="str">
        <f t="shared" si="10"/>
        <v/>
      </c>
      <c r="AC38" s="5"/>
    </row>
    <row r="39" spans="1:29" x14ac:dyDescent="0.25">
      <c r="A39" s="3">
        <v>38</v>
      </c>
      <c r="B39" s="17"/>
      <c r="D39" s="30"/>
      <c r="E39" s="21"/>
      <c r="F39" s="22"/>
      <c r="G39" s="22"/>
      <c r="H39" s="2" t="str">
        <f t="shared" si="4"/>
        <v/>
      </c>
      <c r="I39" s="5" t="str">
        <f t="shared" si="0"/>
        <v/>
      </c>
      <c r="K39">
        <f t="shared" si="1"/>
        <v>1.0154639175257731</v>
      </c>
      <c r="L39" t="str">
        <f t="shared" si="2"/>
        <v/>
      </c>
      <c r="M39">
        <f>PRODUCT(L2:L39)</f>
        <v>7.2801524392476918E-2</v>
      </c>
      <c r="P39" t="e">
        <f t="shared" si="11"/>
        <v>#N/A</v>
      </c>
      <c r="Q39" s="1" t="e">
        <f t="shared" si="5"/>
        <v>#N/A</v>
      </c>
      <c r="R39" s="1" t="e">
        <f t="shared" si="6"/>
        <v>#N/A</v>
      </c>
      <c r="S39" t="e">
        <f t="shared" si="7"/>
        <v>#N/A</v>
      </c>
      <c r="T39" t="e">
        <f>NA()</f>
        <v>#N/A</v>
      </c>
      <c r="V39" t="str">
        <f t="shared" si="8"/>
        <v/>
      </c>
      <c r="AA39" t="str">
        <f t="shared" si="9"/>
        <v/>
      </c>
      <c r="AB39" t="str">
        <f t="shared" si="10"/>
        <v/>
      </c>
      <c r="AC39" s="5"/>
    </row>
    <row r="40" spans="1:29" x14ac:dyDescent="0.25">
      <c r="A40" s="3">
        <v>39</v>
      </c>
      <c r="B40" s="17"/>
      <c r="D40" s="30"/>
      <c r="E40" s="24"/>
      <c r="F40" s="22"/>
      <c r="G40" s="22"/>
      <c r="H40" s="2" t="str">
        <f t="shared" si="4"/>
        <v/>
      </c>
      <c r="I40" s="5" t="str">
        <f t="shared" si="0"/>
        <v/>
      </c>
      <c r="K40">
        <f t="shared" si="1"/>
        <v>1.0154639175257731</v>
      </c>
      <c r="L40" t="str">
        <f t="shared" si="2"/>
        <v/>
      </c>
      <c r="M40">
        <f>PRODUCT(L2:L40)</f>
        <v>7.2801524392476918E-2</v>
      </c>
      <c r="P40" t="e">
        <f t="shared" si="11"/>
        <v>#N/A</v>
      </c>
      <c r="Q40" s="1" t="e">
        <f t="shared" si="5"/>
        <v>#N/A</v>
      </c>
      <c r="R40" s="1" t="e">
        <f t="shared" si="6"/>
        <v>#N/A</v>
      </c>
      <c r="S40" t="e">
        <f t="shared" si="7"/>
        <v>#N/A</v>
      </c>
      <c r="T40" t="e">
        <f>NA()</f>
        <v>#N/A</v>
      </c>
      <c r="V40" t="str">
        <f t="shared" si="8"/>
        <v/>
      </c>
      <c r="AA40" t="str">
        <f t="shared" si="9"/>
        <v/>
      </c>
      <c r="AB40" t="str">
        <f t="shared" si="10"/>
        <v/>
      </c>
      <c r="AC40" s="5"/>
    </row>
    <row r="41" spans="1:29" x14ac:dyDescent="0.25">
      <c r="A41" s="3">
        <v>40</v>
      </c>
      <c r="B41" s="17"/>
      <c r="C41" s="26"/>
      <c r="D41" s="30"/>
      <c r="E41" s="24"/>
      <c r="F41" s="22"/>
      <c r="G41" s="22"/>
      <c r="H41" s="2" t="str">
        <f t="shared" si="4"/>
        <v/>
      </c>
      <c r="I41" s="5" t="str">
        <f t="shared" si="0"/>
        <v/>
      </c>
      <c r="K41">
        <f t="shared" si="1"/>
        <v>1.0154639175257731</v>
      </c>
      <c r="L41" t="str">
        <f t="shared" si="2"/>
        <v/>
      </c>
      <c r="M41">
        <f>PRODUCT(L2:L41)</f>
        <v>7.2801524392476918E-2</v>
      </c>
      <c r="P41" t="e">
        <f t="shared" si="11"/>
        <v>#N/A</v>
      </c>
      <c r="Q41" s="1" t="e">
        <f t="shared" si="5"/>
        <v>#N/A</v>
      </c>
      <c r="R41" s="1" t="e">
        <f t="shared" si="6"/>
        <v>#N/A</v>
      </c>
      <c r="S41" t="e">
        <f t="shared" si="7"/>
        <v>#N/A</v>
      </c>
      <c r="T41" t="e">
        <f>NA()</f>
        <v>#N/A</v>
      </c>
      <c r="V41" t="str">
        <f t="shared" si="8"/>
        <v/>
      </c>
      <c r="AA41" t="str">
        <f t="shared" si="9"/>
        <v/>
      </c>
      <c r="AB41" t="str">
        <f t="shared" si="10"/>
        <v/>
      </c>
      <c r="AC41" s="5"/>
    </row>
    <row r="42" spans="1:29" x14ac:dyDescent="0.25">
      <c r="A42" s="3">
        <v>41</v>
      </c>
      <c r="B42" s="17"/>
      <c r="D42" s="30"/>
      <c r="E42" s="24"/>
      <c r="F42" s="22"/>
      <c r="G42" s="22"/>
      <c r="H42" s="2" t="str">
        <f t="shared" si="4"/>
        <v/>
      </c>
      <c r="I42" s="5" t="str">
        <f t="shared" si="0"/>
        <v/>
      </c>
      <c r="K42">
        <f t="shared" si="1"/>
        <v>1.0154639175257731</v>
      </c>
      <c r="L42" t="str">
        <f t="shared" si="2"/>
        <v/>
      </c>
      <c r="M42">
        <f>PRODUCT(L2:L42)</f>
        <v>7.2801524392476918E-2</v>
      </c>
      <c r="P42" t="e">
        <f t="shared" si="11"/>
        <v>#N/A</v>
      </c>
      <c r="Q42" s="1" t="e">
        <f t="shared" si="5"/>
        <v>#N/A</v>
      </c>
      <c r="R42" s="1" t="e">
        <f t="shared" si="6"/>
        <v>#N/A</v>
      </c>
      <c r="S42" t="e">
        <f t="shared" si="7"/>
        <v>#N/A</v>
      </c>
      <c r="T42" t="e">
        <f>NA()</f>
        <v>#N/A</v>
      </c>
      <c r="V42" t="str">
        <f t="shared" si="8"/>
        <v/>
      </c>
      <c r="AA42" t="str">
        <f t="shared" si="9"/>
        <v/>
      </c>
      <c r="AB42" t="str">
        <f t="shared" si="10"/>
        <v/>
      </c>
      <c r="AC42" s="5"/>
    </row>
    <row r="43" spans="1:29" x14ac:dyDescent="0.25">
      <c r="A43" s="3">
        <v>42</v>
      </c>
      <c r="B43" s="17"/>
      <c r="D43" s="30"/>
      <c r="E43" s="21"/>
      <c r="F43" s="22"/>
      <c r="G43" s="22"/>
      <c r="H43" s="2" t="str">
        <f t="shared" si="4"/>
        <v/>
      </c>
      <c r="I43" s="5" t="str">
        <f t="shared" si="0"/>
        <v/>
      </c>
      <c r="K43">
        <f t="shared" si="1"/>
        <v>1.0154639175257731</v>
      </c>
      <c r="L43" t="str">
        <f t="shared" si="2"/>
        <v/>
      </c>
      <c r="M43">
        <f>PRODUCT(L2:L43)</f>
        <v>7.2801524392476918E-2</v>
      </c>
      <c r="P43" t="e">
        <f t="shared" si="11"/>
        <v>#N/A</v>
      </c>
      <c r="Q43" s="1" t="e">
        <f t="shared" si="5"/>
        <v>#N/A</v>
      </c>
      <c r="R43" s="1" t="e">
        <f t="shared" si="6"/>
        <v>#N/A</v>
      </c>
      <c r="S43" t="e">
        <f t="shared" si="7"/>
        <v>#N/A</v>
      </c>
      <c r="T43" t="e">
        <f>NA()</f>
        <v>#N/A</v>
      </c>
      <c r="V43" t="str">
        <f t="shared" si="8"/>
        <v/>
      </c>
      <c r="AA43" t="str">
        <f t="shared" si="9"/>
        <v/>
      </c>
      <c r="AB43" t="str">
        <f t="shared" si="10"/>
        <v/>
      </c>
      <c r="AC43" s="5"/>
    </row>
    <row r="44" spans="1:29" x14ac:dyDescent="0.25">
      <c r="A44" s="3">
        <v>43</v>
      </c>
      <c r="B44" s="17"/>
      <c r="D44" s="30"/>
      <c r="E44" s="24"/>
      <c r="F44" s="22"/>
      <c r="G44" s="22"/>
      <c r="H44" s="2" t="str">
        <f t="shared" si="4"/>
        <v/>
      </c>
      <c r="I44" s="5" t="str">
        <f t="shared" si="0"/>
        <v/>
      </c>
      <c r="K44">
        <f t="shared" si="1"/>
        <v>1.0154639175257731</v>
      </c>
      <c r="L44" t="str">
        <f t="shared" si="2"/>
        <v/>
      </c>
      <c r="M44">
        <f>PRODUCT(L2:L44)</f>
        <v>7.2801524392476918E-2</v>
      </c>
      <c r="P44" t="e">
        <f t="shared" si="11"/>
        <v>#N/A</v>
      </c>
      <c r="Q44" s="1" t="e">
        <f t="shared" si="5"/>
        <v>#N/A</v>
      </c>
      <c r="R44" s="1" t="e">
        <f t="shared" si="6"/>
        <v>#N/A</v>
      </c>
      <c r="S44" t="e">
        <f t="shared" si="7"/>
        <v>#N/A</v>
      </c>
      <c r="T44" t="e">
        <f>NA()</f>
        <v>#N/A</v>
      </c>
      <c r="V44" t="str">
        <f t="shared" si="8"/>
        <v/>
      </c>
      <c r="AA44" t="str">
        <f t="shared" si="9"/>
        <v/>
      </c>
      <c r="AB44" t="str">
        <f t="shared" si="10"/>
        <v/>
      </c>
      <c r="AC44" s="5"/>
    </row>
    <row r="45" spans="1:29" x14ac:dyDescent="0.25">
      <c r="A45" s="3">
        <v>44</v>
      </c>
      <c r="B45" s="17"/>
      <c r="D45" s="30"/>
      <c r="E45" s="25"/>
      <c r="F45" s="22"/>
      <c r="G45" s="22"/>
      <c r="H45" s="2" t="str">
        <f t="shared" si="4"/>
        <v/>
      </c>
      <c r="I45" s="5" t="str">
        <f t="shared" si="0"/>
        <v/>
      </c>
      <c r="K45">
        <f t="shared" si="1"/>
        <v>1.0154639175257731</v>
      </c>
      <c r="L45" t="str">
        <f t="shared" si="2"/>
        <v/>
      </c>
      <c r="M45">
        <f>PRODUCT(L2:L45)</f>
        <v>7.2801524392476918E-2</v>
      </c>
      <c r="P45" t="e">
        <f t="shared" si="11"/>
        <v>#N/A</v>
      </c>
      <c r="Q45" s="1" t="e">
        <f t="shared" si="5"/>
        <v>#N/A</v>
      </c>
      <c r="R45" s="1" t="e">
        <f t="shared" si="6"/>
        <v>#N/A</v>
      </c>
      <c r="S45" t="e">
        <f t="shared" si="7"/>
        <v>#N/A</v>
      </c>
      <c r="T45" t="e">
        <f>NA()</f>
        <v>#N/A</v>
      </c>
      <c r="V45" t="str">
        <f t="shared" si="8"/>
        <v/>
      </c>
      <c r="AA45" t="str">
        <f t="shared" si="9"/>
        <v/>
      </c>
      <c r="AB45" t="str">
        <f t="shared" si="10"/>
        <v/>
      </c>
      <c r="AC45" s="5"/>
    </row>
    <row r="46" spans="1:29" x14ac:dyDescent="0.25">
      <c r="A46" s="3">
        <v>45</v>
      </c>
      <c r="B46" s="17"/>
      <c r="D46" s="30"/>
      <c r="E46" s="21"/>
      <c r="F46" s="22"/>
      <c r="G46" s="22"/>
      <c r="H46" s="2" t="str">
        <f t="shared" si="4"/>
        <v/>
      </c>
      <c r="I46" s="5" t="str">
        <f t="shared" si="0"/>
        <v/>
      </c>
      <c r="K46">
        <f t="shared" si="1"/>
        <v>1.0154639175257731</v>
      </c>
      <c r="L46" t="str">
        <f t="shared" si="2"/>
        <v/>
      </c>
      <c r="M46">
        <f>PRODUCT(L2:L46)</f>
        <v>7.2801524392476918E-2</v>
      </c>
      <c r="P46" t="e">
        <f t="shared" si="11"/>
        <v>#N/A</v>
      </c>
      <c r="Q46" s="1" t="e">
        <f t="shared" si="5"/>
        <v>#N/A</v>
      </c>
      <c r="R46" s="1" t="e">
        <f t="shared" si="6"/>
        <v>#N/A</v>
      </c>
      <c r="S46" t="e">
        <f t="shared" si="7"/>
        <v>#N/A</v>
      </c>
      <c r="T46" t="e">
        <f>NA()</f>
        <v>#N/A</v>
      </c>
      <c r="V46" t="str">
        <f t="shared" si="8"/>
        <v/>
      </c>
      <c r="AA46" t="str">
        <f t="shared" si="9"/>
        <v/>
      </c>
      <c r="AB46" t="str">
        <f t="shared" si="10"/>
        <v/>
      </c>
      <c r="AC46" s="5"/>
    </row>
    <row r="47" spans="1:29" x14ac:dyDescent="0.25">
      <c r="A47" s="3">
        <v>46</v>
      </c>
      <c r="B47" s="17"/>
      <c r="D47" s="30"/>
      <c r="E47" s="21"/>
      <c r="F47" s="22"/>
      <c r="G47" s="22"/>
      <c r="H47" s="2" t="str">
        <f t="shared" si="4"/>
        <v/>
      </c>
      <c r="I47" s="5" t="str">
        <f t="shared" si="0"/>
        <v/>
      </c>
      <c r="K47">
        <f t="shared" si="1"/>
        <v>1.0154639175257731</v>
      </c>
      <c r="L47" t="str">
        <f t="shared" si="2"/>
        <v/>
      </c>
      <c r="M47">
        <f>PRODUCT(L2:L47)</f>
        <v>7.2801524392476918E-2</v>
      </c>
      <c r="P47" t="e">
        <f t="shared" si="11"/>
        <v>#N/A</v>
      </c>
      <c r="Q47" s="1" t="e">
        <f t="shared" si="5"/>
        <v>#N/A</v>
      </c>
      <c r="R47" s="1" t="e">
        <f t="shared" si="6"/>
        <v>#N/A</v>
      </c>
      <c r="S47" t="e">
        <f t="shared" si="7"/>
        <v>#N/A</v>
      </c>
      <c r="T47" t="e">
        <f>NA()</f>
        <v>#N/A</v>
      </c>
      <c r="V47" t="str">
        <f t="shared" si="8"/>
        <v/>
      </c>
      <c r="AA47" t="str">
        <f t="shared" si="9"/>
        <v/>
      </c>
      <c r="AB47" t="str">
        <f t="shared" si="10"/>
        <v/>
      </c>
      <c r="AC47" s="5"/>
    </row>
    <row r="48" spans="1:29" x14ac:dyDescent="0.25">
      <c r="A48" s="3">
        <v>47</v>
      </c>
      <c r="B48" s="17"/>
      <c r="D48" s="30"/>
      <c r="E48" s="21"/>
      <c r="F48" s="22"/>
      <c r="G48" s="22"/>
      <c r="H48" s="2" t="str">
        <f t="shared" si="4"/>
        <v/>
      </c>
      <c r="I48" s="5" t="str">
        <f t="shared" si="0"/>
        <v/>
      </c>
      <c r="K48">
        <f t="shared" si="1"/>
        <v>1.0154639175257731</v>
      </c>
      <c r="L48" t="str">
        <f t="shared" si="2"/>
        <v/>
      </c>
      <c r="M48">
        <f>PRODUCT(L2:L48)</f>
        <v>7.2801524392476918E-2</v>
      </c>
      <c r="P48" t="e">
        <f t="shared" si="11"/>
        <v>#N/A</v>
      </c>
      <c r="Q48" s="1" t="e">
        <f t="shared" si="5"/>
        <v>#N/A</v>
      </c>
      <c r="R48" s="1" t="e">
        <f t="shared" si="6"/>
        <v>#N/A</v>
      </c>
      <c r="S48" t="e">
        <f t="shared" si="7"/>
        <v>#N/A</v>
      </c>
      <c r="T48" t="e">
        <f>NA()</f>
        <v>#N/A</v>
      </c>
      <c r="V48" t="str">
        <f t="shared" si="8"/>
        <v/>
      </c>
      <c r="AA48" t="str">
        <f t="shared" si="9"/>
        <v/>
      </c>
      <c r="AB48" t="str">
        <f t="shared" si="10"/>
        <v/>
      </c>
      <c r="AC48" s="5"/>
    </row>
    <row r="49" spans="1:29" x14ac:dyDescent="0.25">
      <c r="A49" s="3">
        <v>48</v>
      </c>
      <c r="B49" s="17"/>
      <c r="D49" s="30"/>
      <c r="E49" s="21"/>
      <c r="F49" s="22"/>
      <c r="G49" s="22"/>
      <c r="H49" s="2" t="str">
        <f t="shared" si="4"/>
        <v/>
      </c>
      <c r="I49" s="5" t="str">
        <f t="shared" si="0"/>
        <v/>
      </c>
      <c r="K49">
        <f t="shared" si="1"/>
        <v>1.0154639175257731</v>
      </c>
      <c r="L49" t="str">
        <f t="shared" si="2"/>
        <v/>
      </c>
      <c r="M49">
        <f>PRODUCT(L2:L49)</f>
        <v>7.2801524392476918E-2</v>
      </c>
      <c r="P49" t="e">
        <f t="shared" si="11"/>
        <v>#N/A</v>
      </c>
      <c r="Q49" s="1" t="e">
        <f t="shared" si="5"/>
        <v>#N/A</v>
      </c>
      <c r="R49" s="1" t="e">
        <f t="shared" si="6"/>
        <v>#N/A</v>
      </c>
      <c r="S49" t="e">
        <f t="shared" si="7"/>
        <v>#N/A</v>
      </c>
      <c r="T49" t="e">
        <f>NA()</f>
        <v>#N/A</v>
      </c>
      <c r="V49" t="str">
        <f t="shared" si="8"/>
        <v/>
      </c>
      <c r="AA49" t="str">
        <f t="shared" si="9"/>
        <v/>
      </c>
      <c r="AB49" t="str">
        <f t="shared" si="10"/>
        <v/>
      </c>
      <c r="AC49" s="5"/>
    </row>
    <row r="50" spans="1:29" ht="15.75" thickBot="1" x14ac:dyDescent="0.3">
      <c r="A50" s="3">
        <v>49</v>
      </c>
      <c r="B50" s="18"/>
      <c r="C50" s="34"/>
      <c r="D50" s="57"/>
      <c r="E50" s="21"/>
      <c r="F50" s="22"/>
      <c r="G50" s="22"/>
      <c r="H50" s="2" t="str">
        <f t="shared" si="4"/>
        <v/>
      </c>
      <c r="I50" s="5" t="str">
        <f t="shared" si="0"/>
        <v/>
      </c>
      <c r="K50">
        <f t="shared" si="1"/>
        <v>1.0154639175257731</v>
      </c>
      <c r="L50" t="str">
        <f t="shared" si="2"/>
        <v/>
      </c>
      <c r="M50">
        <f>PRODUCT(L2:L50)</f>
        <v>7.2801524392476918E-2</v>
      </c>
      <c r="P50" t="e">
        <f t="shared" si="11"/>
        <v>#N/A</v>
      </c>
      <c r="Q50" s="1" t="e">
        <f t="shared" si="5"/>
        <v>#N/A</v>
      </c>
      <c r="R50" s="1" t="e">
        <f t="shared" si="6"/>
        <v>#N/A</v>
      </c>
      <c r="S50" t="e">
        <f t="shared" si="7"/>
        <v>#N/A</v>
      </c>
      <c r="T50" t="e">
        <f>NA()</f>
        <v>#N/A</v>
      </c>
      <c r="V50" t="str">
        <f t="shared" si="8"/>
        <v/>
      </c>
      <c r="AA50" t="str">
        <f t="shared" si="9"/>
        <v/>
      </c>
      <c r="AB50" t="str">
        <f t="shared" si="10"/>
        <v/>
      </c>
      <c r="AC50" s="5"/>
    </row>
    <row r="51" spans="1:29" x14ac:dyDescent="0.25">
      <c r="I51" s="4"/>
      <c r="J51" s="1"/>
      <c r="P51">
        <v>0</v>
      </c>
      <c r="Q51" s="1" t="e">
        <f>NA()</f>
        <v>#N/A</v>
      </c>
      <c r="R51" s="1" t="e">
        <f>NA()</f>
        <v>#N/A</v>
      </c>
      <c r="S51" s="1" t="e">
        <f>NA()</f>
        <v>#N/A</v>
      </c>
      <c r="T51">
        <f>Y8-Y17</f>
        <v>5.0699953018637895</v>
      </c>
    </row>
    <row r="52" spans="1:29" x14ac:dyDescent="0.25">
      <c r="D52" s="27"/>
      <c r="E52" s="27"/>
      <c r="H52" s="6"/>
    </row>
    <row r="53" spans="1:29" x14ac:dyDescent="0.25">
      <c r="D53" s="27"/>
      <c r="E53" s="27"/>
      <c r="H53" s="6"/>
    </row>
    <row r="54" spans="1:29" x14ac:dyDescent="0.25">
      <c r="D54" s="24"/>
      <c r="E54" s="24"/>
      <c r="F54" s="22"/>
      <c r="G54" s="22"/>
      <c r="H54" s="6"/>
    </row>
    <row r="55" spans="1:29" x14ac:dyDescent="0.25">
      <c r="D55" s="27"/>
      <c r="E55" s="27"/>
      <c r="H55" s="3"/>
    </row>
    <row r="56" spans="1:29" x14ac:dyDescent="0.25">
      <c r="D56" s="27"/>
      <c r="E56" s="27"/>
      <c r="H56" s="6"/>
    </row>
    <row r="57" spans="1:29" x14ac:dyDescent="0.25">
      <c r="D57" s="27"/>
      <c r="E57" s="27"/>
      <c r="H57" s="6"/>
    </row>
    <row r="58" spans="1:29" x14ac:dyDescent="0.25">
      <c r="D58" s="27"/>
      <c r="E58" s="27"/>
      <c r="H58" s="6"/>
    </row>
    <row r="59" spans="1:29" x14ac:dyDescent="0.25">
      <c r="D59" s="27"/>
      <c r="E59" s="27"/>
      <c r="H59" s="6"/>
    </row>
    <row r="60" spans="1:29" x14ac:dyDescent="0.25">
      <c r="D60" s="27"/>
      <c r="E60" s="27"/>
      <c r="H60" s="6"/>
    </row>
    <row r="61" spans="1:29" x14ac:dyDescent="0.25">
      <c r="D61" s="27"/>
      <c r="E61" s="27"/>
      <c r="H61" s="6"/>
    </row>
    <row r="62" spans="1:29" x14ac:dyDescent="0.25">
      <c r="D62" s="27"/>
      <c r="E62" s="27"/>
      <c r="H62" s="6"/>
    </row>
    <row r="68" spans="4:10" x14ac:dyDescent="0.25">
      <c r="D68" s="27"/>
      <c r="E68" s="27"/>
      <c r="H68" s="7"/>
    </row>
    <row r="69" spans="4:10" x14ac:dyDescent="0.25">
      <c r="D69" s="27"/>
      <c r="E69" s="27"/>
      <c r="H69" s="8"/>
    </row>
    <row r="70" spans="4:10" x14ac:dyDescent="0.25">
      <c r="D70" s="27"/>
      <c r="E70" s="27"/>
      <c r="H70" s="8"/>
    </row>
    <row r="71" spans="4:10" x14ac:dyDescent="0.25">
      <c r="D71" s="27"/>
      <c r="E71" s="27"/>
      <c r="H71" s="8"/>
    </row>
    <row r="72" spans="4:10" x14ac:dyDescent="0.25">
      <c r="D72" s="27"/>
      <c r="E72" s="27"/>
      <c r="H72" s="8"/>
    </row>
    <row r="73" spans="4:10" x14ac:dyDescent="0.25">
      <c r="D73" s="27"/>
      <c r="E73" s="27"/>
      <c r="H73" s="8"/>
    </row>
    <row r="74" spans="4:10" x14ac:dyDescent="0.25">
      <c r="D74" s="27"/>
      <c r="E74" s="27"/>
      <c r="H74" s="8"/>
    </row>
    <row r="75" spans="4:10" x14ac:dyDescent="0.25">
      <c r="D75" s="27"/>
      <c r="E75" s="27"/>
      <c r="H75" s="8"/>
      <c r="J75" s="1"/>
    </row>
    <row r="76" spans="4:10" x14ac:dyDescent="0.25">
      <c r="D76" s="27"/>
      <c r="E76" s="27"/>
      <c r="H76" s="8"/>
    </row>
    <row r="77" spans="4:10" x14ac:dyDescent="0.25">
      <c r="D77" s="27"/>
      <c r="E77" s="27"/>
      <c r="H77" s="8"/>
    </row>
    <row r="83" spans="4:8" x14ac:dyDescent="0.25">
      <c r="D83" s="27"/>
      <c r="E83" s="27"/>
      <c r="H83" s="8"/>
    </row>
    <row r="84" spans="4:8" x14ac:dyDescent="0.25">
      <c r="D84" s="27"/>
      <c r="E84" s="27"/>
      <c r="H84" s="8"/>
    </row>
    <row r="85" spans="4:8" x14ac:dyDescent="0.25">
      <c r="D85" s="27"/>
      <c r="E85" s="27"/>
      <c r="H85" s="8"/>
    </row>
    <row r="86" spans="4:8" x14ac:dyDescent="0.25">
      <c r="D86" s="27"/>
      <c r="E86" s="27"/>
      <c r="H86" s="8"/>
    </row>
    <row r="87" spans="4:8" x14ac:dyDescent="0.25">
      <c r="D87" s="27"/>
      <c r="E87" s="27"/>
      <c r="H87" s="7"/>
    </row>
    <row r="88" spans="4:8" x14ac:dyDescent="0.25">
      <c r="D88" s="27"/>
      <c r="E88" s="27"/>
      <c r="H88" s="7"/>
    </row>
    <row r="90" spans="4:8" x14ac:dyDescent="0.25">
      <c r="D90" s="27"/>
      <c r="E90" s="27"/>
      <c r="H90" s="8"/>
    </row>
    <row r="92" spans="4:8" x14ac:dyDescent="0.25">
      <c r="D92" s="27"/>
      <c r="E92" s="27"/>
      <c r="H92" s="8"/>
    </row>
    <row r="97" spans="4:10" x14ac:dyDescent="0.25">
      <c r="D97" s="27"/>
      <c r="E97" s="27"/>
      <c r="H97" s="8"/>
    </row>
    <row r="98" spans="4:10" x14ac:dyDescent="0.25">
      <c r="D98" s="27"/>
      <c r="E98" s="27"/>
      <c r="H98" s="8"/>
    </row>
    <row r="99" spans="4:10" x14ac:dyDescent="0.25">
      <c r="D99" s="27"/>
      <c r="E99" s="27"/>
      <c r="H99" s="8"/>
    </row>
    <row r="100" spans="4:10" x14ac:dyDescent="0.25">
      <c r="D100" s="27"/>
      <c r="E100" s="27"/>
      <c r="H100" s="8"/>
    </row>
    <row r="101" spans="4:10" x14ac:dyDescent="0.25">
      <c r="D101" s="27"/>
      <c r="E101" s="27"/>
      <c r="H101" s="8"/>
    </row>
    <row r="102" spans="4:10" x14ac:dyDescent="0.25">
      <c r="D102" s="27"/>
      <c r="E102" s="27"/>
      <c r="H102" s="8"/>
    </row>
    <row r="103" spans="4:10" x14ac:dyDescent="0.25">
      <c r="D103" s="27"/>
      <c r="E103" s="27"/>
      <c r="H103" s="8"/>
    </row>
    <row r="104" spans="4:10" x14ac:dyDescent="0.25">
      <c r="D104" s="27"/>
      <c r="E104" s="27"/>
      <c r="H104" s="8"/>
      <c r="J104" s="1"/>
    </row>
    <row r="105" spans="4:10" x14ac:dyDescent="0.25">
      <c r="D105" s="27"/>
      <c r="E105" s="27"/>
      <c r="H105" s="8"/>
    </row>
    <row r="106" spans="4:10" x14ac:dyDescent="0.25">
      <c r="D106" s="27"/>
      <c r="E106" s="27"/>
      <c r="H106" s="7"/>
    </row>
    <row r="117" spans="4:10" x14ac:dyDescent="0.25">
      <c r="D117" s="27"/>
      <c r="E117" s="27"/>
      <c r="H117" s="8"/>
    </row>
    <row r="118" spans="4:10" x14ac:dyDescent="0.25">
      <c r="D118" s="27"/>
      <c r="E118" s="27"/>
      <c r="H118" s="7"/>
    </row>
    <row r="119" spans="4:10" x14ac:dyDescent="0.25">
      <c r="D119" s="27"/>
      <c r="E119" s="27"/>
      <c r="H119" s="7"/>
    </row>
    <row r="120" spans="4:10" x14ac:dyDescent="0.25">
      <c r="D120" s="27"/>
      <c r="E120" s="27"/>
      <c r="H120" s="8"/>
    </row>
    <row r="121" spans="4:10" x14ac:dyDescent="0.25">
      <c r="D121" s="27"/>
      <c r="E121" s="27"/>
      <c r="H121" s="8"/>
    </row>
    <row r="122" spans="4:10" x14ac:dyDescent="0.25">
      <c r="D122" s="27"/>
      <c r="E122" s="27"/>
      <c r="H122" s="8"/>
    </row>
    <row r="123" spans="4:10" x14ac:dyDescent="0.25">
      <c r="D123" s="27"/>
      <c r="E123" s="27"/>
      <c r="H123" s="8"/>
    </row>
    <row r="124" spans="4:10" x14ac:dyDescent="0.25">
      <c r="D124" s="27"/>
      <c r="E124" s="27"/>
      <c r="H124" s="8"/>
    </row>
    <row r="125" spans="4:10" x14ac:dyDescent="0.25">
      <c r="D125" s="27"/>
      <c r="E125" s="27"/>
      <c r="H125" s="8"/>
      <c r="I125" s="4"/>
      <c r="J125" s="1"/>
    </row>
    <row r="126" spans="4:10" x14ac:dyDescent="0.25">
      <c r="D126" s="27"/>
      <c r="E126" s="27"/>
      <c r="H126" s="8"/>
    </row>
    <row r="127" spans="4:10" x14ac:dyDescent="0.25">
      <c r="D127" s="27"/>
      <c r="E127" s="27"/>
      <c r="H127" s="8"/>
    </row>
    <row r="128" spans="4:10" x14ac:dyDescent="0.25">
      <c r="D128" s="27"/>
      <c r="E128" s="27"/>
      <c r="H128" s="8"/>
    </row>
    <row r="129" spans="4:8" x14ac:dyDescent="0.25">
      <c r="D129" s="27"/>
      <c r="E129" s="27"/>
      <c r="H129" s="6"/>
    </row>
    <row r="130" spans="4:8" x14ac:dyDescent="0.25">
      <c r="D130" s="27"/>
      <c r="E130" s="27"/>
      <c r="H130" s="6"/>
    </row>
    <row r="131" spans="4:8" x14ac:dyDescent="0.25">
      <c r="D131" s="27"/>
      <c r="E131" s="27"/>
      <c r="H131" s="6"/>
    </row>
    <row r="132" spans="4:8" x14ac:dyDescent="0.25">
      <c r="D132" s="27"/>
      <c r="E132" s="27"/>
      <c r="H132" s="6"/>
    </row>
    <row r="133" spans="4:8" x14ac:dyDescent="0.25">
      <c r="D133" s="27"/>
      <c r="E133" s="27"/>
      <c r="H133" s="6"/>
    </row>
    <row r="134" spans="4:8" x14ac:dyDescent="0.25">
      <c r="D134" s="27"/>
      <c r="E134" s="27"/>
      <c r="H134" s="6"/>
    </row>
    <row r="135" spans="4:8" x14ac:dyDescent="0.25">
      <c r="D135" s="27"/>
      <c r="E135" s="27"/>
      <c r="H135" s="6"/>
    </row>
    <row r="136" spans="4:8" x14ac:dyDescent="0.25">
      <c r="D136" s="27"/>
      <c r="E136" s="27"/>
      <c r="H136" s="6"/>
    </row>
    <row r="137" spans="4:8" x14ac:dyDescent="0.25">
      <c r="D137" s="27"/>
      <c r="E137" s="27"/>
      <c r="H137" s="6"/>
    </row>
    <row r="138" spans="4:8" x14ac:dyDescent="0.25">
      <c r="D138" s="27"/>
      <c r="E138" s="27"/>
      <c r="H138" s="6"/>
    </row>
    <row r="139" spans="4:8" x14ac:dyDescent="0.25">
      <c r="D139" s="27"/>
      <c r="E139" s="27"/>
      <c r="H139" s="6"/>
    </row>
    <row r="140" spans="4:8" x14ac:dyDescent="0.25">
      <c r="D140" s="27"/>
      <c r="E140" s="27"/>
      <c r="H140" s="6"/>
    </row>
    <row r="141" spans="4:8" x14ac:dyDescent="0.25">
      <c r="D141" s="27"/>
      <c r="E141" s="27"/>
      <c r="H141" s="6"/>
    </row>
    <row r="142" spans="4:8" x14ac:dyDescent="0.25">
      <c r="D142" s="27"/>
      <c r="E142" s="27"/>
      <c r="H142" s="6"/>
    </row>
    <row r="143" spans="4:8" x14ac:dyDescent="0.25">
      <c r="D143" s="27"/>
      <c r="E143" s="27"/>
      <c r="H143" s="6"/>
    </row>
    <row r="144" spans="4:8" x14ac:dyDescent="0.25">
      <c r="D144" s="27"/>
      <c r="E144" s="27"/>
      <c r="H144" s="6"/>
    </row>
    <row r="145" spans="4:10" x14ac:dyDescent="0.25">
      <c r="D145" s="27"/>
      <c r="E145" s="27"/>
      <c r="H145" s="6"/>
    </row>
    <row r="146" spans="4:10" x14ac:dyDescent="0.25">
      <c r="D146" s="27"/>
      <c r="E146" s="27"/>
      <c r="H146" s="6"/>
      <c r="I146" s="4"/>
      <c r="J146" s="1"/>
    </row>
    <row r="147" spans="4:10" x14ac:dyDescent="0.25">
      <c r="D147" s="27"/>
      <c r="E147" s="27"/>
      <c r="H147" s="6"/>
    </row>
    <row r="148" spans="4:10" x14ac:dyDescent="0.25">
      <c r="D148" s="27"/>
      <c r="E148" s="27"/>
      <c r="H148" s="6"/>
    </row>
    <row r="149" spans="4:10" x14ac:dyDescent="0.25">
      <c r="D149" s="27"/>
      <c r="E149" s="27"/>
      <c r="H149" s="6"/>
    </row>
    <row r="150" spans="4:10" x14ac:dyDescent="0.25">
      <c r="D150" s="27"/>
      <c r="E150" s="27"/>
      <c r="H150" s="6"/>
    </row>
    <row r="151" spans="4:10" x14ac:dyDescent="0.25">
      <c r="D151" s="27"/>
      <c r="E151" s="27"/>
      <c r="H151" s="6"/>
    </row>
    <row r="152" spans="4:10" x14ac:dyDescent="0.25">
      <c r="D152" s="27"/>
      <c r="E152" s="27"/>
      <c r="H152" s="6"/>
    </row>
    <row r="153" spans="4:10" x14ac:dyDescent="0.25">
      <c r="D153" s="27"/>
      <c r="E153" s="27"/>
      <c r="H153" s="6"/>
    </row>
    <row r="154" spans="4:10" x14ac:dyDescent="0.25">
      <c r="D154" s="27"/>
      <c r="E154" s="27"/>
      <c r="H154" s="6"/>
    </row>
    <row r="155" spans="4:10" x14ac:dyDescent="0.25">
      <c r="D155" s="27"/>
      <c r="E155" s="27"/>
      <c r="H155" s="6"/>
    </row>
    <row r="156" spans="4:10" x14ac:dyDescent="0.25">
      <c r="D156" s="27"/>
      <c r="E156" s="27"/>
      <c r="H156" s="6"/>
    </row>
    <row r="157" spans="4:10" x14ac:dyDescent="0.25">
      <c r="D157" s="27"/>
      <c r="E157" s="27"/>
      <c r="H157" s="6"/>
    </row>
    <row r="158" spans="4:10" x14ac:dyDescent="0.25">
      <c r="D158" s="27"/>
      <c r="E158" s="27"/>
      <c r="H158" s="6"/>
    </row>
    <row r="159" spans="4:10" x14ac:dyDescent="0.25">
      <c r="D159" s="27"/>
      <c r="E159" s="27"/>
      <c r="H159" s="6"/>
    </row>
    <row r="160" spans="4:10" x14ac:dyDescent="0.25">
      <c r="D160" s="27"/>
      <c r="E160" s="27"/>
      <c r="H160" s="6"/>
    </row>
    <row r="161" spans="4:10" x14ac:dyDescent="0.25">
      <c r="D161" s="27"/>
      <c r="E161" s="27"/>
      <c r="H161" s="6"/>
    </row>
    <row r="162" spans="4:10" x14ac:dyDescent="0.25">
      <c r="D162" s="27"/>
      <c r="E162" s="27"/>
      <c r="H162" s="6"/>
    </row>
    <row r="163" spans="4:10" x14ac:dyDescent="0.25">
      <c r="D163" s="27"/>
      <c r="E163" s="27"/>
      <c r="H163" s="6"/>
    </row>
    <row r="164" spans="4:10" x14ac:dyDescent="0.25">
      <c r="D164" s="27"/>
      <c r="E164" s="27"/>
      <c r="H164" s="6"/>
    </row>
    <row r="165" spans="4:10" x14ac:dyDescent="0.25">
      <c r="D165" s="27"/>
      <c r="E165" s="27"/>
      <c r="H165" s="6"/>
    </row>
    <row r="166" spans="4:10" x14ac:dyDescent="0.25">
      <c r="D166" s="27"/>
      <c r="E166" s="27"/>
      <c r="H166" s="6"/>
      <c r="I166" s="4"/>
      <c r="J166" s="1"/>
    </row>
    <row r="167" spans="4:10" x14ac:dyDescent="0.25">
      <c r="D167" s="27"/>
      <c r="E167" s="27"/>
      <c r="H167" s="6"/>
    </row>
    <row r="168" spans="4:10" x14ac:dyDescent="0.25">
      <c r="D168" s="27"/>
      <c r="E168" s="27"/>
      <c r="H168" s="6"/>
    </row>
    <row r="169" spans="4:10" x14ac:dyDescent="0.25">
      <c r="D169" s="27"/>
      <c r="E169" s="27"/>
      <c r="H169" s="6"/>
    </row>
    <row r="170" spans="4:10" x14ac:dyDescent="0.25">
      <c r="D170" s="27"/>
      <c r="E170" s="27"/>
      <c r="H170" s="6"/>
    </row>
    <row r="171" spans="4:10" x14ac:dyDescent="0.25">
      <c r="D171" s="27"/>
      <c r="E171" s="27"/>
      <c r="H171" s="6"/>
    </row>
    <row r="172" spans="4:10" x14ac:dyDescent="0.25">
      <c r="D172" s="27"/>
      <c r="E172" s="27"/>
      <c r="H172" s="6"/>
    </row>
    <row r="173" spans="4:10" x14ac:dyDescent="0.25">
      <c r="D173" s="27"/>
      <c r="E173" s="27"/>
      <c r="H173" s="6"/>
    </row>
    <row r="174" spans="4:10" x14ac:dyDescent="0.25">
      <c r="D174" s="27"/>
      <c r="E174" s="27"/>
      <c r="H174" s="6"/>
    </row>
    <row r="175" spans="4:10" x14ac:dyDescent="0.25">
      <c r="D175" s="27"/>
      <c r="E175" s="27"/>
      <c r="H175" s="6"/>
    </row>
    <row r="176" spans="4:10" x14ac:dyDescent="0.25">
      <c r="D176" s="27"/>
      <c r="E176" s="27"/>
      <c r="H176" s="6"/>
    </row>
    <row r="177" spans="4:10" x14ac:dyDescent="0.25">
      <c r="D177" s="27"/>
      <c r="E177" s="27"/>
      <c r="H177" s="6"/>
    </row>
    <row r="178" spans="4:10" x14ac:dyDescent="0.25">
      <c r="D178" s="27"/>
      <c r="E178" s="27"/>
      <c r="H178" s="6"/>
    </row>
    <row r="179" spans="4:10" x14ac:dyDescent="0.25">
      <c r="D179" s="27"/>
      <c r="E179" s="27"/>
      <c r="H179" s="6"/>
    </row>
    <row r="180" spans="4:10" x14ac:dyDescent="0.25">
      <c r="D180" s="27"/>
      <c r="E180" s="27"/>
      <c r="H180" s="6"/>
    </row>
    <row r="181" spans="4:10" x14ac:dyDescent="0.25">
      <c r="D181" s="27"/>
      <c r="E181" s="27"/>
      <c r="H181" s="6"/>
    </row>
    <row r="182" spans="4:10" x14ac:dyDescent="0.25">
      <c r="D182" s="27"/>
      <c r="E182" s="27"/>
      <c r="H182" s="6"/>
    </row>
    <row r="183" spans="4:10" x14ac:dyDescent="0.25">
      <c r="D183" s="27"/>
      <c r="E183" s="27"/>
      <c r="H183" s="6"/>
    </row>
    <row r="184" spans="4:10" x14ac:dyDescent="0.25">
      <c r="D184" s="27"/>
      <c r="E184" s="27"/>
      <c r="H184" s="6"/>
    </row>
    <row r="185" spans="4:10" x14ac:dyDescent="0.25">
      <c r="D185" s="27"/>
      <c r="E185" s="27"/>
      <c r="H185" s="6"/>
      <c r="I185" s="4"/>
      <c r="J185" s="1"/>
    </row>
    <row r="186" spans="4:10" x14ac:dyDescent="0.25">
      <c r="D186" s="27"/>
      <c r="E186" s="27"/>
      <c r="H186" s="6"/>
    </row>
    <row r="187" spans="4:10" x14ac:dyDescent="0.25">
      <c r="D187" s="27"/>
      <c r="E187" s="27"/>
      <c r="H187" s="6"/>
    </row>
    <row r="188" spans="4:10" x14ac:dyDescent="0.25">
      <c r="D188" s="27"/>
      <c r="E188" s="27"/>
      <c r="H188" s="6"/>
    </row>
    <row r="189" spans="4:10" x14ac:dyDescent="0.25">
      <c r="D189" s="27"/>
      <c r="E189" s="27"/>
      <c r="H189" s="6"/>
    </row>
    <row r="190" spans="4:10" x14ac:dyDescent="0.25">
      <c r="D190" s="27"/>
      <c r="E190" s="27"/>
      <c r="H190" s="6"/>
    </row>
    <row r="191" spans="4:10" x14ac:dyDescent="0.25">
      <c r="D191" s="27"/>
      <c r="E191" s="27"/>
      <c r="H191" s="6"/>
    </row>
    <row r="192" spans="4:10" x14ac:dyDescent="0.25">
      <c r="D192" s="27"/>
      <c r="E192" s="27"/>
      <c r="H192" s="6"/>
    </row>
    <row r="193" spans="4:8" x14ac:dyDescent="0.25">
      <c r="D193" s="27"/>
      <c r="E193" s="27"/>
      <c r="H193" s="6"/>
    </row>
    <row r="194" spans="4:8" x14ac:dyDescent="0.25">
      <c r="D194" s="27"/>
      <c r="E194" s="27"/>
      <c r="H194" s="6"/>
    </row>
    <row r="195" spans="4:8" x14ac:dyDescent="0.25">
      <c r="D195" s="27"/>
      <c r="E195" s="27"/>
      <c r="H195" s="6"/>
    </row>
    <row r="196" spans="4:8" x14ac:dyDescent="0.25">
      <c r="D196" s="27"/>
      <c r="E196" s="27"/>
      <c r="H196" s="6"/>
    </row>
    <row r="197" spans="4:8" x14ac:dyDescent="0.25">
      <c r="D197" s="27"/>
      <c r="E197" s="27"/>
      <c r="H197" s="6"/>
    </row>
    <row r="198" spans="4:8" x14ac:dyDescent="0.25">
      <c r="D198" s="27"/>
      <c r="E198" s="27"/>
      <c r="H198" s="6"/>
    </row>
    <row r="199" spans="4:8" x14ac:dyDescent="0.25">
      <c r="D199" s="27"/>
      <c r="E199" s="27"/>
      <c r="H199" s="6"/>
    </row>
    <row r="200" spans="4:8" x14ac:dyDescent="0.25">
      <c r="D200" s="27"/>
      <c r="E200" s="27"/>
      <c r="H200" s="6"/>
    </row>
    <row r="201" spans="4:8" x14ac:dyDescent="0.25">
      <c r="D201" s="27"/>
      <c r="E201" s="27"/>
      <c r="H201" s="6"/>
    </row>
    <row r="202" spans="4:8" x14ac:dyDescent="0.25">
      <c r="D202" s="27"/>
      <c r="E202" s="27"/>
      <c r="H202" s="6"/>
    </row>
    <row r="203" spans="4:8" x14ac:dyDescent="0.25">
      <c r="D203" s="27"/>
      <c r="E203" s="27"/>
      <c r="H203" s="6"/>
    </row>
    <row r="204" spans="4:8" x14ac:dyDescent="0.25">
      <c r="D204" s="27"/>
      <c r="E204" s="27"/>
      <c r="H204" s="6"/>
    </row>
    <row r="205" spans="4:8" x14ac:dyDescent="0.25">
      <c r="D205" s="27"/>
      <c r="E205" s="27"/>
      <c r="H205" s="6"/>
    </row>
    <row r="206" spans="4:8" x14ac:dyDescent="0.25">
      <c r="D206" s="27"/>
      <c r="E206" s="27"/>
      <c r="H206" s="6"/>
    </row>
    <row r="207" spans="4:8" x14ac:dyDescent="0.25">
      <c r="D207" s="27"/>
      <c r="E207" s="27"/>
      <c r="H207" s="6"/>
    </row>
    <row r="208" spans="4:8" x14ac:dyDescent="0.25">
      <c r="D208" s="27"/>
      <c r="E208" s="27"/>
      <c r="H208" s="6"/>
    </row>
    <row r="209" spans="4:8" x14ac:dyDescent="0.25">
      <c r="D209" s="27"/>
      <c r="E209" s="27"/>
      <c r="H209" s="6"/>
    </row>
    <row r="210" spans="4:8" x14ac:dyDescent="0.25">
      <c r="D210" s="27"/>
      <c r="E210" s="27"/>
      <c r="H210" s="6"/>
    </row>
    <row r="211" spans="4:8" x14ac:dyDescent="0.25">
      <c r="D211" s="27"/>
      <c r="E211" s="27"/>
      <c r="H211" s="6"/>
    </row>
    <row r="212" spans="4:8" x14ac:dyDescent="0.25">
      <c r="D212" s="27"/>
      <c r="E212" s="27"/>
      <c r="H212" s="6"/>
    </row>
    <row r="213" spans="4:8" x14ac:dyDescent="0.25">
      <c r="D213" s="27"/>
      <c r="E213" s="27"/>
      <c r="H213" s="6"/>
    </row>
    <row r="214" spans="4:8" x14ac:dyDescent="0.25">
      <c r="D214" s="27"/>
      <c r="E214" s="27"/>
      <c r="H214" s="6"/>
    </row>
    <row r="215" spans="4:8" x14ac:dyDescent="0.25">
      <c r="D215" s="27"/>
      <c r="E215" s="27"/>
      <c r="H215" s="6"/>
    </row>
    <row r="216" spans="4:8" x14ac:dyDescent="0.25">
      <c r="D216" s="27"/>
      <c r="E216" s="27"/>
      <c r="H216" s="6"/>
    </row>
    <row r="217" spans="4:8" x14ac:dyDescent="0.25">
      <c r="D217" s="27"/>
      <c r="E217" s="27"/>
      <c r="H217" s="6"/>
    </row>
    <row r="218" spans="4:8" x14ac:dyDescent="0.25">
      <c r="D218" s="27"/>
      <c r="E218" s="27"/>
      <c r="H218" s="6"/>
    </row>
    <row r="219" spans="4:8" x14ac:dyDescent="0.25">
      <c r="D219" s="27"/>
      <c r="E219" s="27"/>
      <c r="H219" s="6"/>
    </row>
    <row r="220" spans="4:8" x14ac:dyDescent="0.25">
      <c r="D220" s="27"/>
      <c r="E220" s="27"/>
      <c r="H220" s="6"/>
    </row>
    <row r="221" spans="4:8" x14ac:dyDescent="0.25">
      <c r="D221" s="27"/>
      <c r="E221" s="27"/>
      <c r="H221" s="6"/>
    </row>
    <row r="222" spans="4:8" x14ac:dyDescent="0.25">
      <c r="D222" s="27"/>
      <c r="E222" s="27"/>
      <c r="H222" s="6"/>
    </row>
    <row r="223" spans="4:8" x14ac:dyDescent="0.25">
      <c r="D223" s="27"/>
      <c r="E223" s="27"/>
      <c r="H223" s="6"/>
    </row>
    <row r="224" spans="4:8" x14ac:dyDescent="0.25">
      <c r="D224" s="27"/>
      <c r="E224" s="27"/>
      <c r="H224" s="6"/>
    </row>
    <row r="225" spans="4:8" x14ac:dyDescent="0.25">
      <c r="D225" s="27"/>
      <c r="E225" s="27"/>
      <c r="H225" s="6"/>
    </row>
    <row r="226" spans="4:8" x14ac:dyDescent="0.25">
      <c r="D226" s="27"/>
      <c r="E226" s="27"/>
      <c r="H226" s="6"/>
    </row>
    <row r="227" spans="4:8" x14ac:dyDescent="0.25">
      <c r="D227" s="27"/>
      <c r="E227" s="27"/>
      <c r="H227" s="6"/>
    </row>
    <row r="228" spans="4:8" x14ac:dyDescent="0.25">
      <c r="D228" s="27"/>
      <c r="E228" s="27"/>
      <c r="H228" s="6"/>
    </row>
    <row r="229" spans="4:8" x14ac:dyDescent="0.25">
      <c r="D229" s="27"/>
      <c r="E229" s="27"/>
      <c r="H229" s="6"/>
    </row>
    <row r="230" spans="4:8" x14ac:dyDescent="0.25">
      <c r="D230" s="27"/>
      <c r="E230" s="27"/>
      <c r="H230" s="6"/>
    </row>
    <row r="231" spans="4:8" x14ac:dyDescent="0.25">
      <c r="D231" s="27"/>
      <c r="E231" s="27"/>
      <c r="H231" s="6"/>
    </row>
    <row r="232" spans="4:8" x14ac:dyDescent="0.25">
      <c r="D232" s="27"/>
      <c r="E232" s="27"/>
      <c r="H232" s="6"/>
    </row>
    <row r="233" spans="4:8" x14ac:dyDescent="0.25">
      <c r="D233" s="27"/>
      <c r="E233" s="27"/>
      <c r="H233" s="6"/>
    </row>
    <row r="234" spans="4:8" x14ac:dyDescent="0.25">
      <c r="D234" s="27"/>
      <c r="E234" s="27"/>
      <c r="H234" s="6"/>
    </row>
    <row r="235" spans="4:8" x14ac:dyDescent="0.25">
      <c r="D235" s="27"/>
      <c r="E235" s="27"/>
      <c r="H235" s="6"/>
    </row>
    <row r="236" spans="4:8" x14ac:dyDescent="0.25">
      <c r="D236" s="27"/>
      <c r="E236" s="27"/>
      <c r="H236" s="6"/>
    </row>
    <row r="237" spans="4:8" x14ac:dyDescent="0.25">
      <c r="D237" s="27"/>
      <c r="E237" s="27"/>
      <c r="H237" s="6"/>
    </row>
    <row r="238" spans="4:8" x14ac:dyDescent="0.25">
      <c r="D238" s="27"/>
      <c r="E238" s="27"/>
      <c r="H238" s="6"/>
    </row>
    <row r="239" spans="4:8" x14ac:dyDescent="0.25">
      <c r="D239" s="27"/>
      <c r="E239" s="27"/>
      <c r="H239" s="6"/>
    </row>
    <row r="240" spans="4:8" x14ac:dyDescent="0.25">
      <c r="D240" s="27"/>
      <c r="E240" s="27"/>
      <c r="H240" s="6"/>
    </row>
    <row r="241" spans="4:8" x14ac:dyDescent="0.25">
      <c r="D241" s="27"/>
      <c r="E241" s="27"/>
      <c r="H241" s="6"/>
    </row>
    <row r="242" spans="4:8" x14ac:dyDescent="0.25">
      <c r="D242" s="27"/>
      <c r="E242" s="27"/>
      <c r="H242" s="6"/>
    </row>
    <row r="243" spans="4:8" x14ac:dyDescent="0.25">
      <c r="D243" s="27"/>
      <c r="E243" s="27"/>
      <c r="H243" s="6"/>
    </row>
    <row r="244" spans="4:8" x14ac:dyDescent="0.25">
      <c r="D244" s="27"/>
      <c r="E244" s="27"/>
      <c r="H244" s="6"/>
    </row>
    <row r="245" spans="4:8" x14ac:dyDescent="0.25">
      <c r="D245" s="27"/>
      <c r="E245" s="27"/>
      <c r="H245" s="6"/>
    </row>
    <row r="246" spans="4:8" x14ac:dyDescent="0.25">
      <c r="D246" s="27"/>
      <c r="E246" s="27"/>
      <c r="H246" s="6"/>
    </row>
    <row r="247" spans="4:8" x14ac:dyDescent="0.25">
      <c r="D247" s="27"/>
      <c r="E247" s="27"/>
      <c r="H247" s="6"/>
    </row>
    <row r="248" spans="4:8" x14ac:dyDescent="0.25">
      <c r="D248" s="27"/>
      <c r="E248" s="27"/>
      <c r="H248" s="6"/>
    </row>
    <row r="249" spans="4:8" x14ac:dyDescent="0.25">
      <c r="D249" s="27"/>
      <c r="E249" s="27"/>
      <c r="H249" s="6"/>
    </row>
    <row r="250" spans="4:8" x14ac:dyDescent="0.25">
      <c r="D250" s="27"/>
      <c r="E250" s="27"/>
      <c r="H250" s="6"/>
    </row>
    <row r="251" spans="4:8" x14ac:dyDescent="0.25">
      <c r="D251" s="27"/>
      <c r="E251" s="27"/>
      <c r="H251" s="6"/>
    </row>
    <row r="252" spans="4:8" x14ac:dyDescent="0.25">
      <c r="D252" s="27"/>
      <c r="E252" s="27"/>
      <c r="H252" s="6"/>
    </row>
    <row r="253" spans="4:8" x14ac:dyDescent="0.25">
      <c r="D253" s="27"/>
      <c r="E253" s="27"/>
      <c r="H253" s="6"/>
    </row>
    <row r="254" spans="4:8" x14ac:dyDescent="0.25">
      <c r="D254" s="27"/>
      <c r="E254" s="27"/>
      <c r="H254" s="6"/>
    </row>
    <row r="255" spans="4:8" x14ac:dyDescent="0.25">
      <c r="D255" s="27"/>
      <c r="E255" s="27"/>
      <c r="H255" s="6"/>
    </row>
    <row r="256" spans="4:8" x14ac:dyDescent="0.25">
      <c r="D256" s="27"/>
      <c r="E256" s="27"/>
      <c r="H256" s="6"/>
    </row>
    <row r="257" spans="4:8" x14ac:dyDescent="0.25">
      <c r="D257" s="27"/>
      <c r="E257" s="27"/>
      <c r="H257" s="6"/>
    </row>
    <row r="258" spans="4:8" x14ac:dyDescent="0.25">
      <c r="D258" s="27"/>
      <c r="E258" s="27"/>
      <c r="H258" s="6"/>
    </row>
    <row r="259" spans="4:8" x14ac:dyDescent="0.25">
      <c r="D259" s="27"/>
      <c r="E259" s="27"/>
      <c r="H259" s="6"/>
    </row>
    <row r="260" spans="4:8" x14ac:dyDescent="0.25">
      <c r="D260" s="27"/>
      <c r="E260" s="27"/>
      <c r="H260" s="6"/>
    </row>
    <row r="261" spans="4:8" x14ac:dyDescent="0.25">
      <c r="D261" s="27"/>
      <c r="E261" s="27"/>
      <c r="H261" s="6"/>
    </row>
    <row r="262" spans="4:8" x14ac:dyDescent="0.25">
      <c r="D262" s="27"/>
      <c r="E262" s="27"/>
      <c r="H262" s="6"/>
    </row>
    <row r="263" spans="4:8" x14ac:dyDescent="0.25">
      <c r="D263" s="27"/>
      <c r="E263" s="27"/>
      <c r="H263" s="6"/>
    </row>
    <row r="264" spans="4:8" x14ac:dyDescent="0.25">
      <c r="D264" s="27"/>
      <c r="E264" s="27"/>
      <c r="H264" s="6"/>
    </row>
    <row r="265" spans="4:8" x14ac:dyDescent="0.25">
      <c r="D265" s="27"/>
      <c r="E265" s="27"/>
      <c r="H265" s="6"/>
    </row>
    <row r="266" spans="4:8" x14ac:dyDescent="0.25">
      <c r="D266" s="27"/>
      <c r="E266" s="27"/>
      <c r="H266" s="6"/>
    </row>
    <row r="267" spans="4:8" x14ac:dyDescent="0.25">
      <c r="D267" s="27"/>
      <c r="E267" s="27"/>
      <c r="H267" s="6"/>
    </row>
    <row r="268" spans="4:8" x14ac:dyDescent="0.25">
      <c r="D268" s="27"/>
      <c r="E268" s="27"/>
      <c r="H268" s="6"/>
    </row>
    <row r="269" spans="4:8" x14ac:dyDescent="0.25">
      <c r="D269" s="27"/>
      <c r="E269" s="27"/>
      <c r="H269" s="6"/>
    </row>
    <row r="270" spans="4:8" x14ac:dyDescent="0.25">
      <c r="D270" s="27"/>
      <c r="E270" s="27"/>
      <c r="H270" s="6"/>
    </row>
    <row r="271" spans="4:8" x14ac:dyDescent="0.25">
      <c r="D271" s="27"/>
      <c r="E271" s="27"/>
      <c r="H271" s="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zoomScaleNormal="100" workbookViewId="0">
      <selection activeCell="E3" sqref="E3"/>
    </sheetView>
  </sheetViews>
  <sheetFormatPr defaultRowHeight="15" x14ac:dyDescent="0.25"/>
  <cols>
    <col min="1" max="3" width="9.140625" style="9"/>
  </cols>
  <sheetData>
    <row r="1" spans="1:13" ht="30" customHeight="1" x14ac:dyDescent="0.25">
      <c r="A1" s="69" t="s">
        <v>91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5" t="s">
        <v>17</v>
      </c>
      <c r="M1" s="64" t="s">
        <v>18</v>
      </c>
    </row>
    <row r="2" spans="1:13" ht="18" x14ac:dyDescent="0.3">
      <c r="A2" s="11"/>
      <c r="B2" s="67" t="s">
        <v>15</v>
      </c>
      <c r="D2" s="68" t="s">
        <v>16</v>
      </c>
    </row>
    <row r="3" spans="1:13" x14ac:dyDescent="0.25">
      <c r="A3" s="66" t="s">
        <v>14</v>
      </c>
      <c r="B3" s="63" t="s">
        <v>95</v>
      </c>
      <c r="C3" s="63" t="s">
        <v>96</v>
      </c>
      <c r="D3" s="63" t="s">
        <v>95</v>
      </c>
      <c r="E3" s="63" t="s">
        <v>96</v>
      </c>
    </row>
    <row r="4" spans="1:13" ht="15" customHeight="1" x14ac:dyDescent="0.25">
      <c r="A4" s="62">
        <v>3</v>
      </c>
      <c r="B4" s="10">
        <v>0.86870000000000003</v>
      </c>
      <c r="C4" s="10">
        <v>0.879</v>
      </c>
      <c r="D4">
        <f>B4*B4</f>
        <v>0.75463969000000009</v>
      </c>
      <c r="E4">
        <f>C4*C4</f>
        <v>0.77264100000000002</v>
      </c>
    </row>
    <row r="5" spans="1:13" ht="15" customHeight="1" x14ac:dyDescent="0.3">
      <c r="A5" s="62">
        <v>4</v>
      </c>
      <c r="B5" s="10">
        <v>0.82340000000000002</v>
      </c>
      <c r="C5" s="10">
        <v>0.86660000000000004</v>
      </c>
      <c r="D5">
        <f t="shared" ref="D5:D68" si="0">B5*B5</f>
        <v>0.67798756000000004</v>
      </c>
      <c r="E5">
        <f t="shared" ref="E5:E68" si="1">C5*C5</f>
        <v>0.75099556000000012</v>
      </c>
      <c r="G5" s="11"/>
    </row>
    <row r="6" spans="1:13" x14ac:dyDescent="0.25">
      <c r="A6" s="62">
        <v>5</v>
      </c>
      <c r="B6" s="10">
        <v>0.82399999999999995</v>
      </c>
      <c r="C6" s="10">
        <v>0.87860000000000005</v>
      </c>
      <c r="D6">
        <f t="shared" si="0"/>
        <v>0.67897599999999991</v>
      </c>
      <c r="E6">
        <f t="shared" si="1"/>
        <v>0.77193796000000003</v>
      </c>
    </row>
    <row r="7" spans="1:13" x14ac:dyDescent="0.25">
      <c r="A7" s="62">
        <v>6</v>
      </c>
      <c r="B7" s="10">
        <v>0.83509999999999995</v>
      </c>
      <c r="C7" s="10">
        <v>0.88800000000000001</v>
      </c>
      <c r="D7">
        <f t="shared" si="0"/>
        <v>0.69739200999999995</v>
      </c>
      <c r="E7">
        <f t="shared" si="1"/>
        <v>0.78854400000000002</v>
      </c>
    </row>
    <row r="8" spans="1:13" x14ac:dyDescent="0.25">
      <c r="A8" s="62">
        <v>7</v>
      </c>
      <c r="B8" s="10">
        <v>0.84740000000000004</v>
      </c>
      <c r="C8" s="10">
        <v>0.89700000000000002</v>
      </c>
      <c r="D8">
        <f t="shared" si="0"/>
        <v>0.71808676000000005</v>
      </c>
      <c r="E8">
        <f t="shared" si="1"/>
        <v>0.80460900000000002</v>
      </c>
    </row>
    <row r="9" spans="1:13" x14ac:dyDescent="0.25">
      <c r="A9" s="62">
        <v>8</v>
      </c>
      <c r="B9" s="10">
        <v>0.85899999999999999</v>
      </c>
      <c r="C9" s="10">
        <v>0.90429999999999999</v>
      </c>
      <c r="D9">
        <f t="shared" si="0"/>
        <v>0.73788100000000001</v>
      </c>
      <c r="E9">
        <f t="shared" si="1"/>
        <v>0.81775849</v>
      </c>
    </row>
    <row r="10" spans="1:13" x14ac:dyDescent="0.25">
      <c r="A10" s="62">
        <v>9</v>
      </c>
      <c r="B10" s="10">
        <v>0.86890000000000001</v>
      </c>
      <c r="C10" s="10">
        <v>0.91149999999999998</v>
      </c>
      <c r="D10">
        <f t="shared" si="0"/>
        <v>0.75498721000000002</v>
      </c>
      <c r="E10">
        <f t="shared" si="1"/>
        <v>0.83083224999999994</v>
      </c>
    </row>
    <row r="11" spans="1:13" x14ac:dyDescent="0.25">
      <c r="A11" s="62">
        <v>10</v>
      </c>
      <c r="B11" s="10">
        <v>0.87649999999999995</v>
      </c>
      <c r="C11" s="10">
        <v>0.9173</v>
      </c>
      <c r="D11">
        <f t="shared" si="0"/>
        <v>0.76825224999999986</v>
      </c>
      <c r="E11">
        <f t="shared" si="1"/>
        <v>0.84143929000000006</v>
      </c>
    </row>
    <row r="12" spans="1:13" x14ac:dyDescent="0.25">
      <c r="A12" s="62">
        <v>11</v>
      </c>
      <c r="B12" s="10">
        <v>0.88380000000000003</v>
      </c>
      <c r="C12" s="10">
        <v>0.92230000000000001</v>
      </c>
      <c r="D12">
        <f t="shared" si="0"/>
        <v>0.78110244000000006</v>
      </c>
      <c r="E12">
        <f t="shared" si="1"/>
        <v>0.85063728999999999</v>
      </c>
    </row>
    <row r="13" spans="1:13" x14ac:dyDescent="0.25">
      <c r="A13" s="62">
        <v>12</v>
      </c>
      <c r="B13" s="10">
        <v>0.89180000000000004</v>
      </c>
      <c r="C13" s="10">
        <v>0.92669999999999997</v>
      </c>
      <c r="D13">
        <f t="shared" si="0"/>
        <v>0.79530724000000008</v>
      </c>
      <c r="E13">
        <f t="shared" si="1"/>
        <v>0.8587728899999999</v>
      </c>
    </row>
    <row r="14" spans="1:13" x14ac:dyDescent="0.25">
      <c r="A14" s="62">
        <v>13</v>
      </c>
      <c r="B14" s="10">
        <v>0.89739999999999998</v>
      </c>
      <c r="C14" s="10">
        <v>0.93100000000000005</v>
      </c>
      <c r="D14">
        <f t="shared" si="0"/>
        <v>0.80532675999999992</v>
      </c>
      <c r="E14">
        <f t="shared" si="1"/>
        <v>0.86676100000000011</v>
      </c>
    </row>
    <row r="15" spans="1:13" x14ac:dyDescent="0.25">
      <c r="A15" s="62">
        <v>14</v>
      </c>
      <c r="B15" s="10">
        <v>0.90290000000000004</v>
      </c>
      <c r="C15" s="10">
        <v>0.93430000000000002</v>
      </c>
      <c r="D15">
        <f t="shared" si="0"/>
        <v>0.81522841000000001</v>
      </c>
      <c r="E15">
        <f t="shared" si="1"/>
        <v>0.87291649000000004</v>
      </c>
    </row>
    <row r="16" spans="1:13" x14ac:dyDescent="0.25">
      <c r="A16" s="62">
        <v>15</v>
      </c>
      <c r="B16" s="10">
        <v>0.90800000000000003</v>
      </c>
      <c r="C16" s="10">
        <v>0.93759999999999999</v>
      </c>
      <c r="D16">
        <f t="shared" si="0"/>
        <v>0.82446400000000009</v>
      </c>
      <c r="E16">
        <f t="shared" si="1"/>
        <v>0.87909375999999995</v>
      </c>
    </row>
    <row r="17" spans="1:5" x14ac:dyDescent="0.25">
      <c r="A17" s="62">
        <v>16</v>
      </c>
      <c r="B17" s="10">
        <v>0.91210000000000002</v>
      </c>
      <c r="C17" s="10">
        <v>0.9405</v>
      </c>
      <c r="D17">
        <f t="shared" si="0"/>
        <v>0.83192641000000001</v>
      </c>
      <c r="E17">
        <f t="shared" si="1"/>
        <v>0.88454025000000003</v>
      </c>
    </row>
    <row r="18" spans="1:5" x14ac:dyDescent="0.25">
      <c r="A18" s="62">
        <v>17</v>
      </c>
      <c r="B18" s="10">
        <v>0.91600000000000004</v>
      </c>
      <c r="C18" s="10">
        <v>0.94330000000000003</v>
      </c>
      <c r="D18">
        <f t="shared" si="0"/>
        <v>0.83905600000000002</v>
      </c>
      <c r="E18">
        <f t="shared" si="1"/>
        <v>0.88981489000000002</v>
      </c>
    </row>
    <row r="19" spans="1:5" x14ac:dyDescent="0.25">
      <c r="A19" s="62">
        <v>18</v>
      </c>
      <c r="B19" s="10">
        <v>0.91959999999999997</v>
      </c>
      <c r="C19" s="10">
        <v>0.94520000000000004</v>
      </c>
      <c r="D19">
        <f t="shared" si="0"/>
        <v>0.84566416</v>
      </c>
      <c r="E19">
        <f t="shared" si="1"/>
        <v>0.89340304000000004</v>
      </c>
    </row>
    <row r="20" spans="1:5" x14ac:dyDescent="0.25">
      <c r="A20" s="62">
        <v>19</v>
      </c>
      <c r="B20" s="10">
        <v>0.92300000000000004</v>
      </c>
      <c r="C20" s="10">
        <v>0.94789999999999996</v>
      </c>
      <c r="D20">
        <f t="shared" si="0"/>
        <v>0.85192900000000005</v>
      </c>
      <c r="E20">
        <f t="shared" si="1"/>
        <v>0.89851440999999999</v>
      </c>
    </row>
    <row r="21" spans="1:5" x14ac:dyDescent="0.25">
      <c r="A21" s="62">
        <v>20</v>
      </c>
      <c r="B21" s="10">
        <v>0.92559999999999998</v>
      </c>
      <c r="C21" s="10">
        <v>0.94979999999999998</v>
      </c>
      <c r="D21">
        <f t="shared" si="0"/>
        <v>0.85673535999999995</v>
      </c>
      <c r="E21">
        <f t="shared" si="1"/>
        <v>0.90212004000000001</v>
      </c>
    </row>
    <row r="22" spans="1:5" x14ac:dyDescent="0.25">
      <c r="A22" s="62">
        <v>21</v>
      </c>
      <c r="B22" s="10">
        <v>0.92849999999999999</v>
      </c>
      <c r="C22" s="10">
        <v>0.95150000000000001</v>
      </c>
      <c r="D22">
        <f t="shared" si="0"/>
        <v>0.86211225000000002</v>
      </c>
      <c r="E22">
        <f t="shared" si="1"/>
        <v>0.90535224999999997</v>
      </c>
    </row>
    <row r="23" spans="1:5" x14ac:dyDescent="0.25">
      <c r="A23" s="62">
        <v>22</v>
      </c>
      <c r="B23" s="10">
        <v>0.93079999999999996</v>
      </c>
      <c r="C23" s="10">
        <v>0.95350000000000001</v>
      </c>
      <c r="D23">
        <f t="shared" si="0"/>
        <v>0.86638863999999993</v>
      </c>
      <c r="E23">
        <f t="shared" si="1"/>
        <v>0.90916225000000006</v>
      </c>
    </row>
    <row r="24" spans="1:5" x14ac:dyDescent="0.25">
      <c r="A24" s="62">
        <v>23</v>
      </c>
      <c r="B24" s="10">
        <v>0.93340000000000001</v>
      </c>
      <c r="C24" s="10">
        <v>0.95479999999999998</v>
      </c>
      <c r="D24">
        <f t="shared" si="0"/>
        <v>0.87123556000000002</v>
      </c>
      <c r="E24">
        <f t="shared" si="1"/>
        <v>0.91164303999999996</v>
      </c>
    </row>
    <row r="25" spans="1:5" x14ac:dyDescent="0.25">
      <c r="A25" s="62">
        <v>24</v>
      </c>
      <c r="B25" s="10">
        <v>0.93559999999999999</v>
      </c>
      <c r="C25" s="10">
        <v>0.95640000000000003</v>
      </c>
      <c r="D25">
        <f t="shared" si="0"/>
        <v>0.87534736000000002</v>
      </c>
      <c r="E25">
        <f t="shared" si="1"/>
        <v>0.91470096000000001</v>
      </c>
    </row>
    <row r="26" spans="1:5" x14ac:dyDescent="0.25">
      <c r="A26" s="62">
        <v>25</v>
      </c>
      <c r="B26" s="10">
        <v>0.93700000000000006</v>
      </c>
      <c r="C26" s="10">
        <v>0.95750000000000002</v>
      </c>
      <c r="D26">
        <f t="shared" si="0"/>
        <v>0.87796900000000011</v>
      </c>
      <c r="E26">
        <f t="shared" si="1"/>
        <v>0.91680625000000004</v>
      </c>
    </row>
    <row r="27" spans="1:5" x14ac:dyDescent="0.25">
      <c r="A27" s="62">
        <v>26</v>
      </c>
      <c r="B27" s="10">
        <v>0.93930000000000002</v>
      </c>
      <c r="C27" s="10">
        <v>0.95899999999999996</v>
      </c>
      <c r="D27">
        <f t="shared" si="0"/>
        <v>0.88228449000000009</v>
      </c>
      <c r="E27">
        <f t="shared" si="1"/>
        <v>0.91968099999999997</v>
      </c>
    </row>
    <row r="28" spans="1:5" x14ac:dyDescent="0.25">
      <c r="A28" s="62">
        <v>27</v>
      </c>
      <c r="B28" s="10">
        <v>0.94130000000000003</v>
      </c>
      <c r="C28" s="10">
        <v>0.96</v>
      </c>
      <c r="D28">
        <f t="shared" si="0"/>
        <v>0.88604569</v>
      </c>
      <c r="E28">
        <f t="shared" si="1"/>
        <v>0.92159999999999997</v>
      </c>
    </row>
    <row r="29" spans="1:5" x14ac:dyDescent="0.25">
      <c r="A29" s="62">
        <v>28</v>
      </c>
      <c r="B29" s="10">
        <v>0.94279999999999997</v>
      </c>
      <c r="C29" s="10">
        <v>0.96150000000000002</v>
      </c>
      <c r="D29">
        <f t="shared" si="0"/>
        <v>0.88887183999999997</v>
      </c>
      <c r="E29">
        <f t="shared" si="1"/>
        <v>0.92448225000000006</v>
      </c>
    </row>
    <row r="30" spans="1:5" x14ac:dyDescent="0.25">
      <c r="A30" s="62">
        <v>29</v>
      </c>
      <c r="B30" s="10">
        <v>0.94410000000000005</v>
      </c>
      <c r="C30" s="10">
        <v>0.96220000000000006</v>
      </c>
      <c r="D30">
        <f t="shared" si="0"/>
        <v>0.89132481000000008</v>
      </c>
      <c r="E30">
        <f t="shared" si="1"/>
        <v>0.9258288400000001</v>
      </c>
    </row>
    <row r="31" spans="1:5" x14ac:dyDescent="0.25">
      <c r="A31" s="62">
        <v>30</v>
      </c>
      <c r="B31" s="10">
        <v>0.94620000000000004</v>
      </c>
      <c r="C31" s="10">
        <v>0.96340000000000003</v>
      </c>
      <c r="D31">
        <f t="shared" si="0"/>
        <v>0.89529444000000002</v>
      </c>
      <c r="E31">
        <f t="shared" si="1"/>
        <v>0.92813956000000009</v>
      </c>
    </row>
    <row r="32" spans="1:5" x14ac:dyDescent="0.25">
      <c r="A32" s="62">
        <v>31</v>
      </c>
      <c r="B32" s="10">
        <v>0.9476</v>
      </c>
      <c r="C32" s="10">
        <v>0.96440000000000003</v>
      </c>
      <c r="D32">
        <f t="shared" si="0"/>
        <v>0.89794576000000004</v>
      </c>
      <c r="E32">
        <f t="shared" si="1"/>
        <v>0.93006736000000012</v>
      </c>
    </row>
    <row r="33" spans="1:5" x14ac:dyDescent="0.25">
      <c r="A33" s="62">
        <v>32</v>
      </c>
      <c r="B33" s="10">
        <v>0.94899999999999995</v>
      </c>
      <c r="C33" s="10">
        <v>0.96519999999999995</v>
      </c>
      <c r="D33">
        <f t="shared" si="0"/>
        <v>0.90060099999999987</v>
      </c>
      <c r="E33">
        <f t="shared" si="1"/>
        <v>0.93161103999999995</v>
      </c>
    </row>
    <row r="34" spans="1:5" x14ac:dyDescent="0.25">
      <c r="A34" s="62">
        <v>33</v>
      </c>
      <c r="B34" s="10">
        <v>0.95050000000000001</v>
      </c>
      <c r="C34" s="10">
        <v>0.96609999999999996</v>
      </c>
      <c r="D34">
        <f t="shared" si="0"/>
        <v>0.90345025000000001</v>
      </c>
      <c r="E34">
        <f t="shared" si="1"/>
        <v>0.93334920999999993</v>
      </c>
    </row>
    <row r="35" spans="1:5" x14ac:dyDescent="0.25">
      <c r="A35" s="62">
        <v>34</v>
      </c>
      <c r="B35" s="10">
        <v>0.95209999999999995</v>
      </c>
      <c r="C35" s="10">
        <v>0.96709999999999996</v>
      </c>
      <c r="D35">
        <f t="shared" si="0"/>
        <v>0.90649440999999986</v>
      </c>
      <c r="E35">
        <f t="shared" si="1"/>
        <v>0.9352824099999999</v>
      </c>
    </row>
    <row r="36" spans="1:5" x14ac:dyDescent="0.25">
      <c r="A36" s="62">
        <v>35</v>
      </c>
      <c r="B36" s="10">
        <v>0.95299999999999996</v>
      </c>
      <c r="C36" s="10">
        <v>0.96779999999999999</v>
      </c>
      <c r="D36">
        <f t="shared" si="0"/>
        <v>0.90820899999999993</v>
      </c>
      <c r="E36">
        <f t="shared" si="1"/>
        <v>0.93663684000000003</v>
      </c>
    </row>
    <row r="37" spans="1:5" x14ac:dyDescent="0.25">
      <c r="A37" s="62">
        <v>36</v>
      </c>
      <c r="B37" s="10">
        <v>0.95399999999999996</v>
      </c>
      <c r="C37" s="10">
        <v>0.96860000000000002</v>
      </c>
      <c r="D37">
        <f t="shared" si="0"/>
        <v>0.91011599999999993</v>
      </c>
      <c r="E37">
        <f t="shared" si="1"/>
        <v>0.93818595999999999</v>
      </c>
    </row>
    <row r="38" spans="1:5" x14ac:dyDescent="0.25">
      <c r="A38" s="62">
        <v>37</v>
      </c>
      <c r="B38" s="10">
        <v>0.95509999999999995</v>
      </c>
      <c r="C38" s="10">
        <v>0.96930000000000005</v>
      </c>
      <c r="D38">
        <f t="shared" si="0"/>
        <v>0.91221600999999986</v>
      </c>
      <c r="E38">
        <f t="shared" si="1"/>
        <v>0.93954249000000012</v>
      </c>
    </row>
    <row r="39" spans="1:5" x14ac:dyDescent="0.25">
      <c r="A39" s="62">
        <v>38</v>
      </c>
      <c r="B39" s="10">
        <v>0.95550000000000002</v>
      </c>
      <c r="C39" s="10">
        <v>0.97</v>
      </c>
      <c r="D39">
        <f t="shared" si="0"/>
        <v>0.91298025000000005</v>
      </c>
      <c r="E39">
        <f t="shared" si="1"/>
        <v>0.94089999999999996</v>
      </c>
    </row>
    <row r="40" spans="1:5" x14ac:dyDescent="0.25">
      <c r="A40" s="62">
        <v>39</v>
      </c>
      <c r="B40" s="10">
        <v>0.95679999999999998</v>
      </c>
      <c r="C40" s="10">
        <v>0.97040000000000004</v>
      </c>
      <c r="D40">
        <f t="shared" si="0"/>
        <v>0.91546623999999999</v>
      </c>
      <c r="E40">
        <f t="shared" si="1"/>
        <v>0.9416761600000001</v>
      </c>
    </row>
    <row r="41" spans="1:5" x14ac:dyDescent="0.25">
      <c r="A41" s="62">
        <v>40</v>
      </c>
      <c r="B41" s="10">
        <v>0.95760000000000001</v>
      </c>
      <c r="C41" s="10">
        <v>0.97119999999999995</v>
      </c>
      <c r="D41">
        <f t="shared" si="0"/>
        <v>0.91699776</v>
      </c>
      <c r="E41">
        <f t="shared" si="1"/>
        <v>0.94322943999999986</v>
      </c>
    </row>
    <row r="42" spans="1:5" x14ac:dyDescent="0.25">
      <c r="A42" s="62">
        <v>41</v>
      </c>
      <c r="B42" s="10">
        <v>0.95889999999999997</v>
      </c>
      <c r="C42" s="10">
        <v>0.97189999999999999</v>
      </c>
      <c r="D42">
        <f t="shared" si="0"/>
        <v>0.91948920999999995</v>
      </c>
      <c r="E42">
        <f t="shared" si="1"/>
        <v>0.94458960999999997</v>
      </c>
    </row>
    <row r="43" spans="1:5" x14ac:dyDescent="0.25">
      <c r="A43" s="62">
        <v>42</v>
      </c>
      <c r="B43" s="10">
        <v>0.95930000000000004</v>
      </c>
      <c r="C43" s="10">
        <v>0.97230000000000005</v>
      </c>
      <c r="D43">
        <f t="shared" si="0"/>
        <v>0.92025649000000009</v>
      </c>
      <c r="E43">
        <f t="shared" si="1"/>
        <v>0.94536729000000008</v>
      </c>
    </row>
    <row r="44" spans="1:5" x14ac:dyDescent="0.25">
      <c r="A44" s="62">
        <v>43</v>
      </c>
      <c r="B44" s="10">
        <v>0.96089999999999998</v>
      </c>
      <c r="C44" s="10">
        <v>0.97299999999999998</v>
      </c>
      <c r="D44">
        <f t="shared" si="0"/>
        <v>0.92332881</v>
      </c>
      <c r="E44">
        <f t="shared" si="1"/>
        <v>0.94672899999999993</v>
      </c>
    </row>
    <row r="45" spans="1:5" x14ac:dyDescent="0.25">
      <c r="A45" s="62">
        <v>44</v>
      </c>
      <c r="B45" s="10">
        <v>0.96109999999999995</v>
      </c>
      <c r="C45" s="10">
        <v>0.97340000000000004</v>
      </c>
      <c r="D45">
        <f t="shared" si="0"/>
        <v>0.92371320999999995</v>
      </c>
      <c r="E45">
        <f t="shared" si="1"/>
        <v>0.94750756000000014</v>
      </c>
    </row>
    <row r="46" spans="1:5" x14ac:dyDescent="0.25">
      <c r="A46" s="62">
        <v>45</v>
      </c>
      <c r="B46" s="10">
        <v>0.96199999999999997</v>
      </c>
      <c r="C46" s="10">
        <v>0.97389999999999999</v>
      </c>
      <c r="D46">
        <f t="shared" si="0"/>
        <v>0.92544399999999993</v>
      </c>
      <c r="E46">
        <f t="shared" si="1"/>
        <v>0.94848120999999996</v>
      </c>
    </row>
    <row r="47" spans="1:5" x14ac:dyDescent="0.25">
      <c r="A47" s="62">
        <v>46</v>
      </c>
      <c r="B47" s="10">
        <v>0.96289999999999998</v>
      </c>
      <c r="C47" s="10">
        <v>0.97440000000000004</v>
      </c>
      <c r="D47">
        <f t="shared" si="0"/>
        <v>0.92717640999999995</v>
      </c>
      <c r="E47">
        <f t="shared" si="1"/>
        <v>0.94945536000000008</v>
      </c>
    </row>
    <row r="48" spans="1:5" x14ac:dyDescent="0.25">
      <c r="A48" s="62">
        <v>47</v>
      </c>
      <c r="B48" s="10">
        <v>0.9637</v>
      </c>
      <c r="C48" s="10">
        <v>0.9748</v>
      </c>
      <c r="D48">
        <f t="shared" si="0"/>
        <v>0.92871769000000004</v>
      </c>
      <c r="E48">
        <f t="shared" si="1"/>
        <v>0.95023504000000003</v>
      </c>
    </row>
    <row r="49" spans="1:5" x14ac:dyDescent="0.25">
      <c r="A49" s="62">
        <v>48</v>
      </c>
      <c r="B49" s="10">
        <v>0.96399999999999997</v>
      </c>
      <c r="C49" s="10">
        <v>0.97529999999999994</v>
      </c>
      <c r="D49">
        <f t="shared" si="0"/>
        <v>0.9292959999999999</v>
      </c>
      <c r="E49">
        <f t="shared" si="1"/>
        <v>0.9512100899999999</v>
      </c>
    </row>
    <row r="50" spans="1:5" x14ac:dyDescent="0.25">
      <c r="A50" s="62">
        <v>49</v>
      </c>
      <c r="B50" s="10">
        <v>0.96430000000000005</v>
      </c>
      <c r="C50" s="10">
        <v>0.9758</v>
      </c>
      <c r="D50">
        <f t="shared" si="0"/>
        <v>0.92987449000000011</v>
      </c>
      <c r="E50">
        <f t="shared" si="1"/>
        <v>0.95218564000000006</v>
      </c>
    </row>
    <row r="51" spans="1:5" x14ac:dyDescent="0.25">
      <c r="A51" s="62">
        <v>50</v>
      </c>
      <c r="B51" s="10">
        <v>0.96540000000000004</v>
      </c>
      <c r="C51" s="10">
        <v>0.97609999999999997</v>
      </c>
      <c r="D51">
        <f t="shared" si="0"/>
        <v>0.9319971600000001</v>
      </c>
      <c r="E51">
        <f t="shared" si="1"/>
        <v>0.95277120999999998</v>
      </c>
    </row>
    <row r="52" spans="1:5" x14ac:dyDescent="0.25">
      <c r="A52" s="62">
        <v>55</v>
      </c>
      <c r="B52" s="10">
        <v>0.96830000000000005</v>
      </c>
      <c r="C52" s="10">
        <v>0.97809999999999997</v>
      </c>
      <c r="D52">
        <f t="shared" si="0"/>
        <v>0.93760489000000014</v>
      </c>
      <c r="E52">
        <f t="shared" si="1"/>
        <v>0.9566796099999999</v>
      </c>
    </row>
    <row r="53" spans="1:5" x14ac:dyDescent="0.25">
      <c r="A53" s="62">
        <v>60</v>
      </c>
      <c r="B53" s="10">
        <v>0.97060000000000002</v>
      </c>
      <c r="C53" s="10">
        <v>0.97970000000000002</v>
      </c>
      <c r="D53">
        <f t="shared" si="0"/>
        <v>0.94206436000000005</v>
      </c>
      <c r="E53">
        <f t="shared" si="1"/>
        <v>0.95981209000000001</v>
      </c>
    </row>
    <row r="54" spans="1:5" x14ac:dyDescent="0.25">
      <c r="A54" s="62">
        <v>65</v>
      </c>
      <c r="B54" s="10">
        <v>0.97230000000000005</v>
      </c>
      <c r="C54" s="10">
        <v>0.98089999999999999</v>
      </c>
      <c r="D54">
        <f t="shared" si="0"/>
        <v>0.94536729000000008</v>
      </c>
      <c r="E54">
        <f t="shared" si="1"/>
        <v>0.96216480999999998</v>
      </c>
    </row>
    <row r="55" spans="1:5" x14ac:dyDescent="0.25">
      <c r="A55" s="62">
        <v>70</v>
      </c>
      <c r="B55" s="10">
        <v>0.97419999999999995</v>
      </c>
      <c r="C55" s="10">
        <v>0.98219999999999996</v>
      </c>
      <c r="D55">
        <f t="shared" si="0"/>
        <v>0.94906563999999993</v>
      </c>
      <c r="E55">
        <f t="shared" si="1"/>
        <v>0.96471683999999991</v>
      </c>
    </row>
    <row r="56" spans="1:5" x14ac:dyDescent="0.25">
      <c r="A56" s="62">
        <v>75</v>
      </c>
      <c r="B56" s="10">
        <v>0.9758</v>
      </c>
      <c r="C56" s="10">
        <v>0.98309999999999997</v>
      </c>
      <c r="D56">
        <f t="shared" si="0"/>
        <v>0.95218564000000006</v>
      </c>
      <c r="E56">
        <f t="shared" si="1"/>
        <v>0.96648560999999999</v>
      </c>
    </row>
    <row r="57" spans="1:5" x14ac:dyDescent="0.25">
      <c r="A57" s="62">
        <v>80</v>
      </c>
      <c r="B57" s="10">
        <v>0.97709999999999997</v>
      </c>
      <c r="C57" s="10">
        <v>0.98409999999999997</v>
      </c>
      <c r="D57">
        <f t="shared" si="0"/>
        <v>0.95472440999999997</v>
      </c>
      <c r="E57">
        <f t="shared" si="1"/>
        <v>0.96845280999999994</v>
      </c>
    </row>
    <row r="58" spans="1:5" x14ac:dyDescent="0.25">
      <c r="A58" s="62">
        <v>85</v>
      </c>
      <c r="B58" s="10">
        <v>0.97840000000000005</v>
      </c>
      <c r="C58" s="10">
        <v>0.98499999999999999</v>
      </c>
      <c r="D58">
        <f t="shared" si="0"/>
        <v>0.9572665600000001</v>
      </c>
      <c r="E58">
        <f t="shared" si="1"/>
        <v>0.970225</v>
      </c>
    </row>
    <row r="59" spans="1:5" x14ac:dyDescent="0.25">
      <c r="A59" s="62">
        <v>90</v>
      </c>
      <c r="B59" s="10">
        <v>0.97970000000000002</v>
      </c>
      <c r="C59" s="10">
        <v>0.98570000000000002</v>
      </c>
      <c r="D59">
        <f t="shared" si="0"/>
        <v>0.95981209000000001</v>
      </c>
      <c r="E59">
        <f t="shared" si="1"/>
        <v>0.97160449000000004</v>
      </c>
    </row>
    <row r="60" spans="1:5" x14ac:dyDescent="0.25">
      <c r="A60" s="62">
        <v>95</v>
      </c>
      <c r="B60" s="10">
        <v>0.98040000000000005</v>
      </c>
      <c r="C60" s="10">
        <v>0.98640000000000005</v>
      </c>
      <c r="D60">
        <f t="shared" si="0"/>
        <v>0.96118416000000007</v>
      </c>
      <c r="E60">
        <f t="shared" si="1"/>
        <v>0.97298496000000012</v>
      </c>
    </row>
    <row r="61" spans="1:5" x14ac:dyDescent="0.25">
      <c r="A61" s="62">
        <v>100</v>
      </c>
      <c r="B61" s="10">
        <v>0.98140000000000005</v>
      </c>
      <c r="C61" s="10">
        <v>0.9869</v>
      </c>
      <c r="D61">
        <f t="shared" si="0"/>
        <v>0.96314596000000008</v>
      </c>
      <c r="E61">
        <f t="shared" si="1"/>
        <v>0.97397160999999999</v>
      </c>
    </row>
    <row r="62" spans="1:5" x14ac:dyDescent="0.25">
      <c r="A62" s="62">
        <v>110</v>
      </c>
      <c r="B62" s="10">
        <v>0.98299999999999998</v>
      </c>
      <c r="C62" s="10">
        <v>0.98809999999999998</v>
      </c>
      <c r="D62">
        <f t="shared" si="0"/>
        <v>0.96628899999999995</v>
      </c>
      <c r="E62">
        <f t="shared" si="1"/>
        <v>0.97634160999999997</v>
      </c>
    </row>
    <row r="63" spans="1:5" x14ac:dyDescent="0.25">
      <c r="A63" s="62">
        <v>120</v>
      </c>
      <c r="B63" s="10">
        <v>0.98409999999999997</v>
      </c>
      <c r="C63" s="10">
        <v>0.9889</v>
      </c>
      <c r="D63">
        <f t="shared" si="0"/>
        <v>0.96845280999999994</v>
      </c>
      <c r="E63">
        <f t="shared" si="1"/>
        <v>0.97792321000000004</v>
      </c>
    </row>
    <row r="64" spans="1:5" x14ac:dyDescent="0.25">
      <c r="A64" s="62">
        <v>130</v>
      </c>
      <c r="B64" s="10">
        <v>0.98540000000000005</v>
      </c>
      <c r="C64" s="10">
        <v>0.98970000000000002</v>
      </c>
      <c r="D64">
        <f t="shared" si="0"/>
        <v>0.97101316000000015</v>
      </c>
      <c r="E64">
        <f t="shared" si="1"/>
        <v>0.97950609</v>
      </c>
    </row>
    <row r="65" spans="1:5" x14ac:dyDescent="0.25">
      <c r="A65" s="62">
        <v>140</v>
      </c>
      <c r="B65" s="10">
        <v>0.98650000000000004</v>
      </c>
      <c r="C65" s="10">
        <v>0.99039999999999995</v>
      </c>
      <c r="D65">
        <f t="shared" si="0"/>
        <v>0.97318225000000014</v>
      </c>
      <c r="E65">
        <f t="shared" si="1"/>
        <v>0.9808921599999999</v>
      </c>
    </row>
    <row r="66" spans="1:5" x14ac:dyDescent="0.25">
      <c r="A66" s="62">
        <v>150</v>
      </c>
      <c r="B66" s="10">
        <v>0.98709999999999998</v>
      </c>
      <c r="C66" s="10">
        <v>0.9909</v>
      </c>
      <c r="D66">
        <f t="shared" si="0"/>
        <v>0.97436640999999991</v>
      </c>
      <c r="E66">
        <f t="shared" si="1"/>
        <v>0.98188280999999999</v>
      </c>
    </row>
    <row r="67" spans="1:5" x14ac:dyDescent="0.25">
      <c r="A67" s="62">
        <v>160</v>
      </c>
      <c r="B67" s="10">
        <v>0.9879</v>
      </c>
      <c r="C67" s="10">
        <v>0.99150000000000005</v>
      </c>
      <c r="D67">
        <f t="shared" si="0"/>
        <v>0.97594641000000004</v>
      </c>
      <c r="E67">
        <f t="shared" si="1"/>
        <v>0.98307225000000009</v>
      </c>
    </row>
    <row r="68" spans="1:5" x14ac:dyDescent="0.25">
      <c r="A68" s="62">
        <v>170</v>
      </c>
      <c r="B68" s="10">
        <v>0.98870000000000002</v>
      </c>
      <c r="C68" s="10">
        <v>0.9919</v>
      </c>
      <c r="D68">
        <f t="shared" si="0"/>
        <v>0.97752769000000006</v>
      </c>
      <c r="E68">
        <f t="shared" si="1"/>
        <v>0.98386561000000006</v>
      </c>
    </row>
    <row r="69" spans="1:5" x14ac:dyDescent="0.25">
      <c r="A69" s="62">
        <v>180</v>
      </c>
      <c r="B69" s="10">
        <v>0.98909999999999998</v>
      </c>
      <c r="C69" s="10">
        <v>0.99229999999999996</v>
      </c>
      <c r="D69">
        <f t="shared" ref="D69:D121" si="2">B69*B69</f>
        <v>0.97831880999999998</v>
      </c>
      <c r="E69">
        <f t="shared" ref="E69:E121" si="3">C69*C69</f>
        <v>0.98465928999999996</v>
      </c>
    </row>
    <row r="70" spans="1:5" x14ac:dyDescent="0.25">
      <c r="A70" s="62">
        <v>190</v>
      </c>
      <c r="B70" s="10">
        <v>0.98970000000000002</v>
      </c>
      <c r="C70" s="10">
        <v>0.99270000000000003</v>
      </c>
      <c r="D70">
        <f t="shared" si="2"/>
        <v>0.97950609</v>
      </c>
      <c r="E70">
        <f t="shared" si="3"/>
        <v>0.98545329000000004</v>
      </c>
    </row>
    <row r="71" spans="1:5" x14ac:dyDescent="0.25">
      <c r="A71" s="62">
        <v>200</v>
      </c>
      <c r="B71" s="10">
        <v>0.99029999999999996</v>
      </c>
      <c r="C71" s="10">
        <v>0.99299999999999999</v>
      </c>
      <c r="D71">
        <f t="shared" si="2"/>
        <v>0.98069408999999996</v>
      </c>
      <c r="E71">
        <f t="shared" si="3"/>
        <v>0.98604899999999995</v>
      </c>
    </row>
    <row r="72" spans="1:5" x14ac:dyDescent="0.25">
      <c r="A72" s="62">
        <v>210</v>
      </c>
      <c r="B72" s="10">
        <v>0.99070000000000003</v>
      </c>
      <c r="C72" s="10">
        <v>0.99329999999999996</v>
      </c>
      <c r="D72">
        <f t="shared" si="2"/>
        <v>0.9814864900000001</v>
      </c>
      <c r="E72">
        <f t="shared" si="3"/>
        <v>0.98664488999999989</v>
      </c>
    </row>
    <row r="73" spans="1:5" x14ac:dyDescent="0.25">
      <c r="A73" s="62">
        <v>220</v>
      </c>
      <c r="B73" s="10">
        <v>0.99099999999999999</v>
      </c>
      <c r="C73" s="10">
        <v>0.99360000000000004</v>
      </c>
      <c r="D73">
        <f t="shared" si="2"/>
        <v>0.98208099999999998</v>
      </c>
      <c r="E73">
        <f t="shared" si="3"/>
        <v>0.98724096000000006</v>
      </c>
    </row>
    <row r="74" spans="1:5" x14ac:dyDescent="0.25">
      <c r="A74" s="62">
        <v>230</v>
      </c>
      <c r="B74" s="10">
        <v>0.99139999999999995</v>
      </c>
      <c r="C74" s="10">
        <v>0.99390000000000001</v>
      </c>
      <c r="D74">
        <f t="shared" si="2"/>
        <v>0.98287395999999994</v>
      </c>
      <c r="E74">
        <f t="shared" si="3"/>
        <v>0.98783721000000002</v>
      </c>
    </row>
    <row r="75" spans="1:5" x14ac:dyDescent="0.25">
      <c r="A75" s="62">
        <v>240</v>
      </c>
      <c r="B75" s="10">
        <v>0.99170000000000003</v>
      </c>
      <c r="C75" s="10">
        <v>0.99409999999999998</v>
      </c>
      <c r="D75">
        <f t="shared" si="2"/>
        <v>0.98346889000000004</v>
      </c>
      <c r="E75">
        <f t="shared" si="3"/>
        <v>0.98823481000000002</v>
      </c>
    </row>
    <row r="76" spans="1:5" x14ac:dyDescent="0.25">
      <c r="A76" s="62">
        <v>250</v>
      </c>
      <c r="B76" s="10">
        <v>0.99209999999999998</v>
      </c>
      <c r="C76" s="10">
        <v>0.99429999999999996</v>
      </c>
      <c r="D76">
        <f t="shared" si="2"/>
        <v>0.98426240999999992</v>
      </c>
      <c r="E76">
        <f t="shared" si="3"/>
        <v>0.98863248999999997</v>
      </c>
    </row>
    <row r="77" spans="1:5" x14ac:dyDescent="0.25">
      <c r="A77" s="62">
        <v>260</v>
      </c>
      <c r="B77" s="10">
        <v>0.99239999999999995</v>
      </c>
      <c r="C77" s="10">
        <v>0.99450000000000005</v>
      </c>
      <c r="D77">
        <f t="shared" si="2"/>
        <v>0.98485775999999992</v>
      </c>
      <c r="E77">
        <f t="shared" si="3"/>
        <v>0.98903025000000011</v>
      </c>
    </row>
    <row r="78" spans="1:5" x14ac:dyDescent="0.25">
      <c r="A78" s="62">
        <v>270</v>
      </c>
      <c r="B78" s="10">
        <v>0.99260000000000004</v>
      </c>
      <c r="C78" s="10">
        <v>0.99470000000000003</v>
      </c>
      <c r="D78">
        <f t="shared" si="2"/>
        <v>0.98525476000000012</v>
      </c>
      <c r="E78">
        <f t="shared" si="3"/>
        <v>0.98942809000000009</v>
      </c>
    </row>
    <row r="79" spans="1:5" x14ac:dyDescent="0.25">
      <c r="A79" s="62">
        <v>280</v>
      </c>
      <c r="B79" s="10">
        <v>0.9929</v>
      </c>
      <c r="C79" s="10">
        <v>0.99490000000000001</v>
      </c>
      <c r="D79">
        <f t="shared" si="2"/>
        <v>0.98585040999999995</v>
      </c>
      <c r="E79">
        <f t="shared" si="3"/>
        <v>0.98982601000000003</v>
      </c>
    </row>
    <row r="80" spans="1:5" x14ac:dyDescent="0.25">
      <c r="A80" s="62">
        <v>290</v>
      </c>
      <c r="B80" s="10">
        <v>0.99309999999999998</v>
      </c>
      <c r="C80" s="10">
        <v>0.99509999999999998</v>
      </c>
      <c r="D80">
        <f t="shared" si="2"/>
        <v>0.98624760999999994</v>
      </c>
      <c r="E80">
        <f t="shared" si="3"/>
        <v>0.99022400999999993</v>
      </c>
    </row>
    <row r="81" spans="1:5" x14ac:dyDescent="0.25">
      <c r="A81" s="62">
        <v>300</v>
      </c>
      <c r="B81" s="10">
        <v>0.99329999999999996</v>
      </c>
      <c r="C81" s="10">
        <v>0.99519999999999997</v>
      </c>
      <c r="D81">
        <f t="shared" si="2"/>
        <v>0.98664488999999989</v>
      </c>
      <c r="E81">
        <f t="shared" si="3"/>
        <v>0.99042303999999992</v>
      </c>
    </row>
    <row r="82" spans="1:5" x14ac:dyDescent="0.25">
      <c r="A82" s="62">
        <v>310</v>
      </c>
      <c r="B82" s="10">
        <v>0.99360000000000004</v>
      </c>
      <c r="C82" s="10">
        <v>0.99539999999999995</v>
      </c>
      <c r="D82">
        <f t="shared" si="2"/>
        <v>0.98724096000000006</v>
      </c>
      <c r="E82">
        <f t="shared" si="3"/>
        <v>0.99082115999999987</v>
      </c>
    </row>
    <row r="83" spans="1:5" x14ac:dyDescent="0.25">
      <c r="A83" s="62">
        <v>320</v>
      </c>
      <c r="B83" s="10">
        <v>0.99370000000000003</v>
      </c>
      <c r="C83" s="10">
        <v>0.99550000000000005</v>
      </c>
      <c r="D83">
        <f t="shared" si="2"/>
        <v>0.98743969000000009</v>
      </c>
      <c r="E83">
        <f t="shared" si="3"/>
        <v>0.99102025000000016</v>
      </c>
    </row>
    <row r="84" spans="1:5" x14ac:dyDescent="0.25">
      <c r="A84" s="62">
        <v>330</v>
      </c>
      <c r="B84" s="10">
        <v>0.99390000000000001</v>
      </c>
      <c r="C84" s="10">
        <v>0.99560000000000004</v>
      </c>
      <c r="D84">
        <f t="shared" si="2"/>
        <v>0.98783721000000002</v>
      </c>
      <c r="E84">
        <f t="shared" si="3"/>
        <v>0.9912193600000001</v>
      </c>
    </row>
    <row r="85" spans="1:5" x14ac:dyDescent="0.25">
      <c r="A85" s="62">
        <v>340</v>
      </c>
      <c r="B85" s="10">
        <v>0.99409999999999998</v>
      </c>
      <c r="C85" s="10">
        <v>0.99570000000000003</v>
      </c>
      <c r="D85">
        <f t="shared" si="2"/>
        <v>0.98823481000000002</v>
      </c>
      <c r="E85">
        <f t="shared" si="3"/>
        <v>0.99141849000000004</v>
      </c>
    </row>
    <row r="86" spans="1:5" x14ac:dyDescent="0.25">
      <c r="A86" s="62">
        <v>350</v>
      </c>
      <c r="B86" s="10">
        <v>0.99419999999999997</v>
      </c>
      <c r="C86" s="10">
        <v>0.99580000000000002</v>
      </c>
      <c r="D86">
        <f t="shared" si="2"/>
        <v>0.98843363999999989</v>
      </c>
      <c r="E86">
        <f t="shared" si="3"/>
        <v>0.99161764000000008</v>
      </c>
    </row>
    <row r="87" spans="1:5" x14ac:dyDescent="0.25">
      <c r="A87" s="62">
        <v>360</v>
      </c>
      <c r="B87" s="10">
        <v>0.99439999999999995</v>
      </c>
      <c r="C87" s="10">
        <v>0.99590000000000001</v>
      </c>
      <c r="D87">
        <f t="shared" si="2"/>
        <v>0.98883135999999994</v>
      </c>
      <c r="E87">
        <f t="shared" si="3"/>
        <v>0.99181680999999999</v>
      </c>
    </row>
    <row r="88" spans="1:5" x14ac:dyDescent="0.25">
      <c r="A88" s="62">
        <v>370</v>
      </c>
      <c r="B88" s="10">
        <v>0.99450000000000005</v>
      </c>
      <c r="C88" s="10">
        <v>0.996</v>
      </c>
      <c r="D88">
        <f t="shared" si="2"/>
        <v>0.98903025000000011</v>
      </c>
      <c r="E88">
        <f t="shared" si="3"/>
        <v>0.99201600000000001</v>
      </c>
    </row>
    <row r="89" spans="1:5" x14ac:dyDescent="0.25">
      <c r="A89" s="62">
        <v>380</v>
      </c>
      <c r="B89" s="10">
        <v>0.99470000000000003</v>
      </c>
      <c r="C89" s="10">
        <v>0.99609999999999999</v>
      </c>
      <c r="D89">
        <f t="shared" si="2"/>
        <v>0.98942809000000009</v>
      </c>
      <c r="E89">
        <f t="shared" si="3"/>
        <v>0.99221521000000001</v>
      </c>
    </row>
    <row r="90" spans="1:5" x14ac:dyDescent="0.25">
      <c r="A90" s="62">
        <v>390</v>
      </c>
      <c r="B90" s="10">
        <v>0.99480000000000002</v>
      </c>
      <c r="C90" s="10">
        <v>0.99619999999999997</v>
      </c>
      <c r="D90">
        <f t="shared" si="2"/>
        <v>0.98962704000000001</v>
      </c>
      <c r="E90">
        <f t="shared" si="3"/>
        <v>0.9924144399999999</v>
      </c>
    </row>
    <row r="91" spans="1:5" x14ac:dyDescent="0.25">
      <c r="A91" s="62">
        <v>400</v>
      </c>
      <c r="B91" s="10">
        <v>0.99490000000000001</v>
      </c>
      <c r="C91" s="10">
        <v>0.99629999999999996</v>
      </c>
      <c r="D91">
        <f t="shared" si="2"/>
        <v>0.98982601000000003</v>
      </c>
      <c r="E91">
        <f t="shared" si="3"/>
        <v>0.99261368999999988</v>
      </c>
    </row>
    <row r="92" spans="1:5" x14ac:dyDescent="0.25">
      <c r="A92" s="62">
        <v>410</v>
      </c>
      <c r="B92" s="10">
        <v>0.995</v>
      </c>
      <c r="C92" s="10">
        <v>0.99639999999999995</v>
      </c>
      <c r="D92">
        <f t="shared" si="2"/>
        <v>0.99002500000000004</v>
      </c>
      <c r="E92">
        <f t="shared" si="3"/>
        <v>0.99281295999999986</v>
      </c>
    </row>
    <row r="93" spans="1:5" x14ac:dyDescent="0.25">
      <c r="A93" s="62">
        <v>420</v>
      </c>
      <c r="B93" s="10">
        <v>0.99509999999999998</v>
      </c>
      <c r="C93" s="10">
        <v>0.99650000000000005</v>
      </c>
      <c r="D93">
        <f t="shared" si="2"/>
        <v>0.99022400999999993</v>
      </c>
      <c r="E93">
        <f t="shared" si="3"/>
        <v>0.99301225000000015</v>
      </c>
    </row>
    <row r="94" spans="1:5" x14ac:dyDescent="0.25">
      <c r="A94" s="62">
        <v>430</v>
      </c>
      <c r="B94" s="10">
        <v>0.99529999999999996</v>
      </c>
      <c r="C94" s="10">
        <v>0.99660000000000004</v>
      </c>
      <c r="D94">
        <f t="shared" si="2"/>
        <v>0.9906220899999999</v>
      </c>
      <c r="E94">
        <f t="shared" si="3"/>
        <v>0.9932115600000001</v>
      </c>
    </row>
    <row r="95" spans="1:5" x14ac:dyDescent="0.25">
      <c r="A95" s="62">
        <v>440</v>
      </c>
      <c r="B95" s="10">
        <v>0.99539999999999995</v>
      </c>
      <c r="C95" s="10">
        <v>0.99660000000000004</v>
      </c>
      <c r="D95">
        <f t="shared" si="2"/>
        <v>0.99082115999999987</v>
      </c>
      <c r="E95">
        <f t="shared" si="3"/>
        <v>0.9932115600000001</v>
      </c>
    </row>
    <row r="96" spans="1:5" x14ac:dyDescent="0.25">
      <c r="A96" s="62">
        <v>450</v>
      </c>
      <c r="B96" s="10">
        <v>0.99539999999999995</v>
      </c>
      <c r="C96" s="10">
        <v>0.99670000000000003</v>
      </c>
      <c r="D96">
        <f t="shared" si="2"/>
        <v>0.99082115999999987</v>
      </c>
      <c r="E96">
        <f t="shared" si="3"/>
        <v>0.99341089000000005</v>
      </c>
    </row>
    <row r="97" spans="1:5" x14ac:dyDescent="0.25">
      <c r="A97" s="62">
        <v>460</v>
      </c>
      <c r="B97" s="10">
        <v>0.99550000000000005</v>
      </c>
      <c r="C97" s="10">
        <v>0.99680000000000002</v>
      </c>
      <c r="D97">
        <f t="shared" si="2"/>
        <v>0.99102025000000016</v>
      </c>
      <c r="E97">
        <f t="shared" si="3"/>
        <v>0.99361024000000009</v>
      </c>
    </row>
    <row r="98" spans="1:5" x14ac:dyDescent="0.25">
      <c r="A98" s="62">
        <v>470</v>
      </c>
      <c r="B98" s="10">
        <v>0.99560000000000004</v>
      </c>
      <c r="C98" s="10">
        <v>0.99680000000000002</v>
      </c>
      <c r="D98">
        <f t="shared" si="2"/>
        <v>0.9912193600000001</v>
      </c>
      <c r="E98">
        <f t="shared" si="3"/>
        <v>0.99361024000000009</v>
      </c>
    </row>
    <row r="99" spans="1:5" x14ac:dyDescent="0.25">
      <c r="A99" s="62">
        <v>480</v>
      </c>
      <c r="B99" s="10">
        <v>0.99570000000000003</v>
      </c>
      <c r="C99" s="10">
        <v>0.99690000000000001</v>
      </c>
      <c r="D99">
        <f t="shared" si="2"/>
        <v>0.99141849000000004</v>
      </c>
      <c r="E99">
        <f t="shared" si="3"/>
        <v>0.99380961000000001</v>
      </c>
    </row>
    <row r="100" spans="1:5" x14ac:dyDescent="0.25">
      <c r="A100" s="62">
        <v>490</v>
      </c>
      <c r="B100" s="10">
        <v>0.99580000000000002</v>
      </c>
      <c r="C100" s="10">
        <v>0.99690000000000001</v>
      </c>
      <c r="D100">
        <f t="shared" si="2"/>
        <v>0.99161764000000008</v>
      </c>
      <c r="E100">
        <f t="shared" si="3"/>
        <v>0.99380961000000001</v>
      </c>
    </row>
    <row r="101" spans="1:5" x14ac:dyDescent="0.25">
      <c r="A101" s="62">
        <v>500</v>
      </c>
      <c r="B101" s="10">
        <v>0.99590000000000001</v>
      </c>
      <c r="C101" s="10">
        <v>0.997</v>
      </c>
      <c r="D101">
        <f t="shared" si="2"/>
        <v>0.99181680999999999</v>
      </c>
      <c r="E101">
        <f t="shared" si="3"/>
        <v>0.99400900000000003</v>
      </c>
    </row>
    <row r="102" spans="1:5" x14ac:dyDescent="0.25">
      <c r="A102" s="62">
        <v>525</v>
      </c>
      <c r="B102" s="10">
        <v>0.99609999999999999</v>
      </c>
      <c r="C102" s="10">
        <v>0.99719999999999998</v>
      </c>
      <c r="D102">
        <f t="shared" si="2"/>
        <v>0.99221521000000001</v>
      </c>
      <c r="E102">
        <f t="shared" si="3"/>
        <v>0.99440783999999993</v>
      </c>
    </row>
    <row r="103" spans="1:5" x14ac:dyDescent="0.25">
      <c r="A103" s="62">
        <v>550</v>
      </c>
      <c r="B103" s="10">
        <v>0.99629999999999996</v>
      </c>
      <c r="C103" s="10">
        <v>0.99729999999999996</v>
      </c>
      <c r="D103">
        <f t="shared" si="2"/>
        <v>0.99261368999999988</v>
      </c>
      <c r="E103">
        <f t="shared" si="3"/>
        <v>0.99460728999999992</v>
      </c>
    </row>
    <row r="104" spans="1:5" x14ac:dyDescent="0.25">
      <c r="A104" s="62">
        <v>575</v>
      </c>
      <c r="B104" s="10">
        <v>0.99639999999999995</v>
      </c>
      <c r="C104" s="10">
        <v>0.99739999999999995</v>
      </c>
      <c r="D104">
        <f t="shared" si="2"/>
        <v>0.99281295999999986</v>
      </c>
      <c r="E104">
        <f t="shared" si="3"/>
        <v>0.9948067599999999</v>
      </c>
    </row>
    <row r="105" spans="1:5" x14ac:dyDescent="0.25">
      <c r="A105" s="62">
        <v>600</v>
      </c>
      <c r="B105" s="10">
        <v>0.99650000000000005</v>
      </c>
      <c r="C105" s="10">
        <v>0.99750000000000005</v>
      </c>
      <c r="D105">
        <f t="shared" si="2"/>
        <v>0.99301225000000015</v>
      </c>
      <c r="E105">
        <f t="shared" si="3"/>
        <v>0.99500625000000009</v>
      </c>
    </row>
    <row r="106" spans="1:5" x14ac:dyDescent="0.25">
      <c r="A106" s="62">
        <v>625</v>
      </c>
      <c r="B106" s="10">
        <v>0.99670000000000003</v>
      </c>
      <c r="C106" s="10">
        <v>0.99760000000000004</v>
      </c>
      <c r="D106">
        <f t="shared" si="2"/>
        <v>0.99341089000000005</v>
      </c>
      <c r="E106">
        <f t="shared" si="3"/>
        <v>0.99520576000000005</v>
      </c>
    </row>
    <row r="107" spans="1:5" x14ac:dyDescent="0.25">
      <c r="A107" s="62">
        <v>650</v>
      </c>
      <c r="B107" s="10">
        <v>0.99680000000000002</v>
      </c>
      <c r="C107" s="10">
        <v>0.99770000000000003</v>
      </c>
      <c r="D107">
        <f t="shared" si="2"/>
        <v>0.99361024000000009</v>
      </c>
      <c r="E107">
        <f t="shared" si="3"/>
        <v>0.99540529000000011</v>
      </c>
    </row>
    <row r="108" spans="1:5" x14ac:dyDescent="0.25">
      <c r="A108" s="62">
        <v>675</v>
      </c>
      <c r="B108" s="10">
        <v>0.99690000000000001</v>
      </c>
      <c r="C108" s="10">
        <v>0.99770000000000003</v>
      </c>
      <c r="D108">
        <f t="shared" si="2"/>
        <v>0.99380961000000001</v>
      </c>
      <c r="E108">
        <f t="shared" si="3"/>
        <v>0.99540529000000011</v>
      </c>
    </row>
    <row r="109" spans="1:5" x14ac:dyDescent="0.25">
      <c r="A109" s="62">
        <v>700</v>
      </c>
      <c r="B109" s="10">
        <v>0.997</v>
      </c>
      <c r="C109" s="10">
        <v>0.99780000000000002</v>
      </c>
      <c r="D109">
        <f t="shared" si="2"/>
        <v>0.99400900000000003</v>
      </c>
      <c r="E109">
        <f t="shared" si="3"/>
        <v>0.99560484000000005</v>
      </c>
    </row>
    <row r="110" spans="1:5" x14ac:dyDescent="0.25">
      <c r="A110" s="62">
        <v>725</v>
      </c>
      <c r="B110" s="10">
        <v>0.99709999999999999</v>
      </c>
      <c r="C110" s="10">
        <v>0.99790000000000001</v>
      </c>
      <c r="D110">
        <f t="shared" si="2"/>
        <v>0.99420840999999993</v>
      </c>
      <c r="E110">
        <f t="shared" si="3"/>
        <v>0.99580440999999997</v>
      </c>
    </row>
    <row r="111" spans="1:5" x14ac:dyDescent="0.25">
      <c r="A111" s="62">
        <v>750</v>
      </c>
      <c r="B111" s="10">
        <v>0.99719999999999998</v>
      </c>
      <c r="C111" s="10">
        <v>0.998</v>
      </c>
      <c r="D111">
        <f t="shared" si="2"/>
        <v>0.99440783999999993</v>
      </c>
      <c r="E111">
        <f t="shared" si="3"/>
        <v>0.996004</v>
      </c>
    </row>
    <row r="112" spans="1:5" x14ac:dyDescent="0.25">
      <c r="A112" s="62">
        <v>775</v>
      </c>
      <c r="B112" s="10">
        <v>0.99729999999999996</v>
      </c>
      <c r="C112" s="10">
        <v>0.998</v>
      </c>
      <c r="D112">
        <f t="shared" si="2"/>
        <v>0.99460728999999992</v>
      </c>
      <c r="E112">
        <f t="shared" si="3"/>
        <v>0.996004</v>
      </c>
    </row>
    <row r="113" spans="1:5" x14ac:dyDescent="0.25">
      <c r="A113" s="62">
        <v>800</v>
      </c>
      <c r="B113" s="10">
        <v>0.99739999999999995</v>
      </c>
      <c r="C113" s="10">
        <v>0.99809999999999999</v>
      </c>
      <c r="D113">
        <f t="shared" si="2"/>
        <v>0.9948067599999999</v>
      </c>
      <c r="E113">
        <f t="shared" si="3"/>
        <v>0.99620361000000002</v>
      </c>
    </row>
    <row r="114" spans="1:5" x14ac:dyDescent="0.25">
      <c r="A114" s="62">
        <v>825</v>
      </c>
      <c r="B114" s="10">
        <v>0.99750000000000005</v>
      </c>
      <c r="C114" s="10">
        <v>0.99809999999999999</v>
      </c>
      <c r="D114">
        <f t="shared" si="2"/>
        <v>0.99500625000000009</v>
      </c>
      <c r="E114">
        <f t="shared" si="3"/>
        <v>0.99620361000000002</v>
      </c>
    </row>
    <row r="115" spans="1:5" x14ac:dyDescent="0.25">
      <c r="A115" s="62">
        <v>850</v>
      </c>
      <c r="B115" s="10">
        <v>0.99750000000000005</v>
      </c>
      <c r="C115" s="10">
        <v>0.99819999999999998</v>
      </c>
      <c r="D115">
        <f t="shared" si="2"/>
        <v>0.99500625000000009</v>
      </c>
      <c r="E115">
        <f t="shared" si="3"/>
        <v>0.99640323999999991</v>
      </c>
    </row>
    <row r="116" spans="1:5" x14ac:dyDescent="0.25">
      <c r="A116" s="62">
        <v>875</v>
      </c>
      <c r="B116" s="10">
        <v>0.99760000000000004</v>
      </c>
      <c r="C116" s="10">
        <v>0.99819999999999998</v>
      </c>
      <c r="D116">
        <f t="shared" si="2"/>
        <v>0.99520576000000005</v>
      </c>
      <c r="E116">
        <f t="shared" si="3"/>
        <v>0.99640323999999991</v>
      </c>
    </row>
    <row r="117" spans="1:5" x14ac:dyDescent="0.25">
      <c r="A117" s="62">
        <v>900</v>
      </c>
      <c r="B117" s="10">
        <v>0.99770000000000003</v>
      </c>
      <c r="C117" s="10">
        <v>0.99829999999999997</v>
      </c>
      <c r="D117">
        <f t="shared" si="2"/>
        <v>0.99540529000000011</v>
      </c>
      <c r="E117">
        <f t="shared" si="3"/>
        <v>0.99660288999999991</v>
      </c>
    </row>
    <row r="118" spans="1:5" x14ac:dyDescent="0.25">
      <c r="A118" s="62">
        <v>925</v>
      </c>
      <c r="B118" s="10">
        <v>0.99770000000000003</v>
      </c>
      <c r="C118" s="10">
        <v>0.99829999999999997</v>
      </c>
      <c r="D118">
        <f t="shared" si="2"/>
        <v>0.99540529000000011</v>
      </c>
      <c r="E118">
        <f t="shared" si="3"/>
        <v>0.99660288999999991</v>
      </c>
    </row>
    <row r="119" spans="1:5" x14ac:dyDescent="0.25">
      <c r="A119" s="62">
        <v>950</v>
      </c>
      <c r="B119" s="10">
        <v>0.99780000000000002</v>
      </c>
      <c r="C119" s="10">
        <v>0.99839999999999995</v>
      </c>
      <c r="D119">
        <f t="shared" si="2"/>
        <v>0.99560484000000005</v>
      </c>
      <c r="E119">
        <f t="shared" si="3"/>
        <v>0.99680255999999989</v>
      </c>
    </row>
    <row r="120" spans="1:5" x14ac:dyDescent="0.25">
      <c r="A120" s="62">
        <v>975</v>
      </c>
      <c r="B120" s="10">
        <v>0.99780000000000002</v>
      </c>
      <c r="C120" s="10">
        <v>0.99839999999999995</v>
      </c>
      <c r="D120">
        <f t="shared" si="2"/>
        <v>0.99560484000000005</v>
      </c>
      <c r="E120">
        <f t="shared" si="3"/>
        <v>0.99680255999999989</v>
      </c>
    </row>
    <row r="121" spans="1:5" x14ac:dyDescent="0.25">
      <c r="A121" s="62">
        <v>1000</v>
      </c>
      <c r="B121" s="10">
        <v>0.99790000000000001</v>
      </c>
      <c r="C121" s="10">
        <v>0.99839999999999995</v>
      </c>
      <c r="D121">
        <f t="shared" si="2"/>
        <v>0.99580440999999997</v>
      </c>
      <c r="E121">
        <f t="shared" si="3"/>
        <v>0.99680255999999989</v>
      </c>
    </row>
  </sheetData>
  <mergeCells count="1">
    <mergeCell ref="A1:K1"/>
  </mergeCells>
  <hyperlinks>
    <hyperlink ref="M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Distribution Check</vt:lpstr>
      <vt:lpstr>Exponential</vt:lpstr>
      <vt:lpstr>Lognormal</vt:lpstr>
      <vt:lpstr>Significance Levels Table</vt:lpstr>
      <vt:lpstr>b</vt:lpstr>
      <vt:lpstr>l</vt:lpstr>
      <vt:lpstr>n</vt:lpstr>
      <vt:lpstr>SSX</vt:lpstr>
      <vt:lpstr>SYX</vt:lpstr>
      <vt:lpstr>t</vt:lpstr>
      <vt:lpstr>XAVG</vt:lpstr>
    </vt:vector>
  </TitlesOfParts>
  <Company>SAP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d031860</dc:creator>
  <cp:lastModifiedBy>Sarah Harris</cp:lastModifiedBy>
  <dcterms:created xsi:type="dcterms:W3CDTF">2012-05-23T12:20:22Z</dcterms:created>
  <dcterms:modified xsi:type="dcterms:W3CDTF">2014-07-11T15:41:34Z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334530916</vt:i4>
  </property>
  <property fmtid="{D5CDD505-2E9C-101B-9397-08002B2CF9AE}" pid="3" name="_NewReviewCycle">
    <vt:lpwstr/>
  </property>
  <property fmtid="{D5CDD505-2E9C-101B-9397-08002B2CF9AE}" pid="4" name="_EmailSubject">
    <vt:lpwstr>Probability plotting article</vt:lpwstr>
  </property>
  <property fmtid="{D5CDD505-2E9C-101B-9397-08002B2CF9AE}" pid="5" name="_AuthorEmail">
    <vt:lpwstr>bernard.rummel@sap.com</vt:lpwstr>
  </property>
  <property fmtid="{D5CDD505-2E9C-101B-9397-08002B2CF9AE}" pid="6" name="_AuthorEmailDisplayName">
    <vt:lpwstr>Rummel, Bernard</vt:lpwstr>
  </property>
  <property fmtid="{D5CDD505-2E9C-101B-9397-08002B2CF9AE}" pid="7" name="_PreviousAdHocReviewCycleID">
    <vt:i4>699261748</vt:i4>
  </property>
  <property fmtid="{D5CDD505-2E9C-101B-9397-08002B2CF9AE}" pid="8" name="_ReviewingToolsShownOnce">
    <vt:lpwstr/>
  </property>
</Properties>
</file>